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930" yWindow="30" windowWidth="15480" windowHeight="9120" activeTab="1"/>
  </bookViews>
  <sheets>
    <sheet name="Sensitivity analysis" sheetId="1" r:id="rId1"/>
    <sheet name="QQ calcs" sheetId="2" r:id="rId2"/>
    <sheet name="Sheet3" sheetId="3" r:id="rId3"/>
  </sheets>
  <definedNames>
    <definedName name="C_">'Sensitivity analysis'!$C$2</definedName>
    <definedName name="Cbar">'Sensitivity analysis'!$D$2</definedName>
    <definedName name="D">'Sensitivity analysis'!$A$2</definedName>
    <definedName name="Dbar">'Sensitivity analysis'!$B$2</definedName>
    <definedName name="p">'Sensitivity analysis'!$E$2</definedName>
    <definedName name="pa">'QQ calcs'!$F$7</definedName>
    <definedName name="pb">'QQ calcs'!$F$8</definedName>
    <definedName name="pc">'QQ calcs'!$F$9</definedName>
    <definedName name="PQ">'QQ calcs'!$O$5</definedName>
    <definedName name="QQ">'QQ calcs'!$F$12</definedName>
    <definedName name="QQdash">'QQ calcs'!$F$11</definedName>
    <definedName name="x">'QQ calcs'!$E$12</definedName>
  </definedNames>
  <calcPr calcId="145621"/>
</workbook>
</file>

<file path=xl/calcChain.xml><?xml version="1.0" encoding="utf-8"?>
<calcChain xmlns="http://schemas.openxmlformats.org/spreadsheetml/2006/main">
  <c r="F8" i="2" l="1"/>
  <c r="F9" i="2"/>
  <c r="F11" i="2" s="1"/>
  <c r="F7" i="2"/>
  <c r="P21" i="2" l="1"/>
  <c r="A5" i="2"/>
  <c r="P26" i="2"/>
  <c r="P25" i="2"/>
  <c r="P24" i="2"/>
  <c r="P23" i="2"/>
  <c r="P33" i="2"/>
  <c r="P32" i="2"/>
  <c r="I39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21" i="2"/>
  <c r="P28" i="2"/>
  <c r="R35" i="2" l="1"/>
  <c r="B2" i="1"/>
  <c r="M2" i="1"/>
  <c r="P31" i="2" l="1"/>
  <c r="P30" i="2"/>
  <c r="P29" i="2"/>
  <c r="P27" i="2"/>
  <c r="P22" i="2"/>
  <c r="I38" i="2"/>
  <c r="H6" i="1"/>
  <c r="O5" i="2"/>
  <c r="F13" i="2" s="1"/>
  <c r="C3" i="2"/>
  <c r="D3" i="2"/>
  <c r="E3" i="2"/>
  <c r="F3" i="2"/>
  <c r="G3" i="2"/>
  <c r="H3" i="2"/>
  <c r="I3" i="2"/>
  <c r="J3" i="2"/>
  <c r="P3" i="2" s="1"/>
  <c r="Q3" i="2" s="1"/>
  <c r="K3" i="2"/>
  <c r="L3" i="2"/>
  <c r="M3" i="2"/>
  <c r="N3" i="2"/>
  <c r="O3" i="2"/>
  <c r="B3" i="2"/>
  <c r="F12" i="2" l="1"/>
  <c r="I40" i="1" s="1"/>
  <c r="P35" i="2"/>
  <c r="I41" i="1" s="1"/>
  <c r="H5" i="1" l="1"/>
  <c r="E4" i="1" l="1"/>
  <c r="F11" i="1" s="1"/>
  <c r="F20" i="1" l="1"/>
  <c r="F18" i="1"/>
  <c r="F16" i="1"/>
  <c r="F14" i="1"/>
  <c r="F12" i="1"/>
  <c r="F10" i="1"/>
  <c r="F19" i="1"/>
  <c r="F17" i="1"/>
  <c r="F15" i="1"/>
  <c r="F13" i="1"/>
  <c r="I10" i="1" l="1"/>
  <c r="D2" i="1"/>
  <c r="H3" i="1" s="1"/>
  <c r="I36" i="1" l="1"/>
  <c r="I35" i="1"/>
  <c r="H34" i="1"/>
  <c r="H43" i="1" s="1"/>
  <c r="I39" i="1"/>
  <c r="I37" i="1"/>
  <c r="I38" i="1"/>
  <c r="G2" i="1"/>
  <c r="H4" i="1"/>
  <c r="I34" i="1" l="1"/>
  <c r="H2" i="1"/>
  <c r="I2" i="1"/>
  <c r="J34" i="1" l="1"/>
  <c r="J43" i="1" s="1"/>
  <c r="I43" i="1"/>
</calcChain>
</file>

<file path=xl/comments1.xml><?xml version="1.0" encoding="utf-8"?>
<comments xmlns="http://schemas.openxmlformats.org/spreadsheetml/2006/main">
  <authors>
    <author>Gill, Peter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this is 1-PrD which is the probability that an allele has not dropped out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>This is the probability of drop-in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This is the probability of no-drop-in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This is the allele freqency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the sum of denominator terms in the formula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Gill, Peter: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Sum of all the denominators below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Sum of all the denominators below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<sst xmlns="http://schemas.openxmlformats.org/spreadsheetml/2006/main" count="109" uniqueCount="73">
  <si>
    <t>D</t>
  </si>
  <si>
    <t>Dbar</t>
  </si>
  <si>
    <t>C</t>
  </si>
  <si>
    <t>Cbar</t>
  </si>
  <si>
    <t>LR</t>
  </si>
  <si>
    <t>LR numerator</t>
  </si>
  <si>
    <t>LR denominator</t>
  </si>
  <si>
    <t>Pr(D)</t>
  </si>
  <si>
    <t>num</t>
  </si>
  <si>
    <t>denom</t>
  </si>
  <si>
    <t>2p rule</t>
  </si>
  <si>
    <t>Notes:</t>
  </si>
  <si>
    <t>Input parameters in cells A2:E2</t>
  </si>
  <si>
    <t>Press button to generate graph</t>
  </si>
  <si>
    <t>This simulates S=ab and C=a</t>
  </si>
  <si>
    <t>This simulates S=ab and C=ac</t>
  </si>
  <si>
    <t>p(allele frequency)</t>
  </si>
  <si>
    <t>AA</t>
  </si>
  <si>
    <t>CC</t>
  </si>
  <si>
    <t>AC</t>
  </si>
  <si>
    <t>AQ</t>
  </si>
  <si>
    <t>CQ</t>
  </si>
  <si>
    <t>QQ</t>
  </si>
  <si>
    <t>QQ'</t>
  </si>
  <si>
    <t>D18 locus</t>
  </si>
  <si>
    <t>sum of squares</t>
  </si>
  <si>
    <t>sum</t>
  </si>
  <si>
    <t>allele a</t>
  </si>
  <si>
    <t>allele c</t>
  </si>
  <si>
    <t>allele b</t>
  </si>
  <si>
    <t>allele</t>
  </si>
  <si>
    <t>QQ'=</t>
  </si>
  <si>
    <t>QQ=</t>
  </si>
  <si>
    <t>6.85584e-05</t>
  </si>
  <si>
    <t>1.37448e-05</t>
  </si>
  <si>
    <t>2.74896e-05</t>
  </si>
  <si>
    <t>2.7556e-06</t>
  </si>
  <si>
    <t>6.32128e-05</t>
  </si>
  <si>
    <t>3.57232e-05</t>
  </si>
  <si>
    <t>Upper triangle</t>
  </si>
  <si>
    <t>2p rule applied</t>
  </si>
  <si>
    <t>LR=</t>
  </si>
  <si>
    <t>dropin Pr</t>
  </si>
  <si>
    <t>dropout Pr</t>
  </si>
  <si>
    <t>These are the putative</t>
  </si>
  <si>
    <t>genotypes</t>
  </si>
  <si>
    <t>For example, choose allele a=13, b=14, c=16 in cells G7:G9</t>
  </si>
  <si>
    <t>frequencies</t>
  </si>
  <si>
    <t>These are the</t>
  </si>
  <si>
    <t>allele frquencies</t>
  </si>
  <si>
    <t>used</t>
  </si>
  <si>
    <t>QQ and QQ'</t>
  </si>
  <si>
    <t>calculations</t>
  </si>
  <si>
    <t>Q=sum allelic frequencies - allele a - allele c =</t>
  </si>
  <si>
    <t>subtract pa^2 and pc^2 from the sum of alleles</t>
  </si>
  <si>
    <t>formula considering a 5-allele example at a locus</t>
  </si>
  <si>
    <t>ie the sum of homozygote frequencies excluding aleles a and c</t>
  </si>
  <si>
    <t xml:space="preserve"> considered</t>
  </si>
  <si>
    <t>sums across hets</t>
  </si>
  <si>
    <t>sums across whole rows</t>
  </si>
  <si>
    <t>crime stain shared with suspect allele here</t>
  </si>
  <si>
    <t>suspect allele (unshared with crime stain) here</t>
  </si>
  <si>
    <t>crime stain allele (unshared with suspect) here</t>
  </si>
  <si>
    <t>Sum of heterozygote frequencies, excluding any with allele a,c from cell P35</t>
  </si>
  <si>
    <t>Q=</t>
  </si>
  <si>
    <t>From cell O5</t>
  </si>
  <si>
    <t>Sum of homozgote frequencies, excluding allele a and c,  from cell Q3</t>
  </si>
  <si>
    <t>This matrix calculates the proportion of each possible heterozgote (green and white background) and every homozygote (yellow background) - note that the values sum to one</t>
  </si>
  <si>
    <t>the sum of the upper green triangle</t>
  </si>
  <si>
    <t>Homozygote QQ</t>
  </si>
  <si>
    <t>is heterozygote QQ'</t>
  </si>
  <si>
    <t>(automatic)</t>
  </si>
  <si>
    <t>You can input your own alleles here (don't alter any other cells)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</si>
</sst>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Arial"/>
      <family val="2"/>
    </font>
    <font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rgb="FF000000"/>
      <name val="Calibri"/>
      <family val="2"/>
    </font>
    <font>
      <sz val="20"/>
      <color rgb="FFFF0000"/>
      <name val="Calibri"/>
      <family val="2"/>
      <scheme val="minor"/>
    </font>
    <font>
      <sz val="18"/>
      <color rgb="FF000000"/>
      <name val="Calibri"/>
      <family val="2"/>
    </font>
    <font>
      <sz val="20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color rgb="FF7030A0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4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33CC33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/>
      </patternFill>
    </fill>
    <fill>
      <patternFill patternType="solid">
        <fgColor rgb="FF66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4" borderId="0" applyNumberFormat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/>
    <xf numFmtId="0" fontId="0" fillId="2" borderId="0" xfId="0" applyFill="1"/>
    <xf numFmtId="0" fontId="0" fillId="3" borderId="0" xfId="0" applyFill="1"/>
    <xf numFmtId="0" fontId="8" fillId="0" borderId="0" xfId="0" applyFont="1"/>
    <xf numFmtId="0" fontId="1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0" fontId="12" fillId="5" borderId="0" xfId="0" applyFont="1" applyFill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9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horizontal="center"/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164" fontId="21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left"/>
      <protection locked="0"/>
    </xf>
    <xf numFmtId="164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0" fillId="0" borderId="0" xfId="0" applyAlignment="1" applyProtection="1">
      <protection locked="0"/>
    </xf>
    <xf numFmtId="0" fontId="23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10" fillId="7" borderId="1" xfId="1" applyFill="1" applyBorder="1" applyProtection="1">
      <protection locked="0"/>
    </xf>
    <xf numFmtId="0" fontId="10" fillId="7" borderId="0" xfId="1" applyFill="1" applyProtection="1">
      <protection locked="0"/>
    </xf>
    <xf numFmtId="0" fontId="0" fillId="7" borderId="0" xfId="0" applyFill="1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10" fillId="4" borderId="0" xfId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</xf>
    <xf numFmtId="0" fontId="11" fillId="5" borderId="0" xfId="0" applyFont="1" applyFill="1" applyAlignment="1" applyProtection="1">
      <alignment horizontal="center"/>
      <protection locked="0"/>
    </xf>
    <xf numFmtId="0" fontId="11" fillId="5" borderId="0" xfId="0" applyFont="1" applyFill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25" fillId="0" borderId="0" xfId="0" applyFo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right"/>
      <protection locked="0"/>
    </xf>
    <xf numFmtId="0" fontId="26" fillId="0" borderId="0" xfId="0" applyFont="1"/>
    <xf numFmtId="0" fontId="29" fillId="0" borderId="0" xfId="0" applyFont="1"/>
    <xf numFmtId="0" fontId="30" fillId="0" borderId="0" xfId="0" applyFont="1"/>
    <xf numFmtId="164" fontId="31" fillId="0" borderId="0" xfId="0" applyNumberFormat="1" applyFont="1" applyAlignment="1" applyProtection="1">
      <alignment horizontal="center"/>
      <protection locked="0"/>
    </xf>
    <xf numFmtId="0" fontId="32" fillId="0" borderId="0" xfId="0" applyFont="1" applyAlignment="1" applyProtection="1">
      <alignment horizontal="right"/>
      <protection locked="0"/>
    </xf>
    <xf numFmtId="2" fontId="0" fillId="0" borderId="0" xfId="0" applyNumberFormat="1"/>
    <xf numFmtId="0" fontId="7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8" fillId="0" borderId="0" xfId="0" applyFont="1" applyAlignment="1"/>
    <xf numFmtId="0" fontId="11" fillId="0" borderId="0" xfId="0" applyFont="1"/>
    <xf numFmtId="0" fontId="21" fillId="0" borderId="0" xfId="0" applyFont="1"/>
    <xf numFmtId="0" fontId="33" fillId="0" borderId="0" xfId="0" applyFont="1"/>
    <xf numFmtId="0" fontId="8" fillId="0" borderId="0" xfId="0" applyFont="1" applyAlignment="1">
      <alignment horizontal="center"/>
    </xf>
    <xf numFmtId="0" fontId="34" fillId="0" borderId="0" xfId="0" applyFont="1"/>
    <xf numFmtId="0" fontId="35" fillId="0" borderId="0" xfId="0" applyFont="1"/>
    <xf numFmtId="0" fontId="15" fillId="0" borderId="2" xfId="0" applyFont="1" applyBorder="1"/>
    <xf numFmtId="0" fontId="28" fillId="0" borderId="2" xfId="0" applyFont="1" applyBorder="1" applyAlignment="1">
      <alignment horizontal="left"/>
    </xf>
    <xf numFmtId="0" fontId="34" fillId="0" borderId="2" xfId="0" applyFont="1" applyBorder="1"/>
    <xf numFmtId="0" fontId="21" fillId="0" borderId="0" xfId="0" applyFont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0" fontId="21" fillId="6" borderId="6" xfId="0" applyFont="1" applyFill="1" applyBorder="1" applyAlignment="1">
      <alignment horizontal="center"/>
    </xf>
    <xf numFmtId="0" fontId="21" fillId="6" borderId="7" xfId="0" applyFont="1" applyFill="1" applyBorder="1" applyAlignment="1">
      <alignment horizontal="center"/>
    </xf>
    <xf numFmtId="0" fontId="0" fillId="0" borderId="3" xfId="0" applyBorder="1"/>
    <xf numFmtId="0" fontId="21" fillId="8" borderId="4" xfId="0" applyFont="1" applyFill="1" applyBorder="1"/>
    <xf numFmtId="0" fontId="36" fillId="8" borderId="4" xfId="0" applyFont="1" applyFill="1" applyBorder="1" applyAlignment="1">
      <alignment horizontal="center"/>
    </xf>
    <xf numFmtId="0" fontId="36" fillId="8" borderId="5" xfId="0" applyFont="1" applyFill="1" applyBorder="1" applyAlignment="1">
      <alignment horizontal="center"/>
    </xf>
    <xf numFmtId="0" fontId="21" fillId="6" borderId="8" xfId="0" applyFont="1" applyFill="1" applyBorder="1" applyAlignment="1">
      <alignment horizontal="center"/>
    </xf>
    <xf numFmtId="0" fontId="37" fillId="0" borderId="0" xfId="0" applyFont="1"/>
    <xf numFmtId="0" fontId="12" fillId="0" borderId="0" xfId="0" applyFont="1"/>
    <xf numFmtId="0" fontId="9" fillId="0" borderId="0" xfId="0" applyFont="1" applyAlignment="1">
      <alignment horizontal="center"/>
    </xf>
    <xf numFmtId="0" fontId="11" fillId="0" borderId="9" xfId="0" applyFont="1" applyBorder="1"/>
    <xf numFmtId="0" fontId="11" fillId="0" borderId="1" xfId="0" applyFont="1" applyBorder="1"/>
    <xf numFmtId="0" fontId="35" fillId="0" borderId="1" xfId="0" applyFont="1" applyBorder="1"/>
    <xf numFmtId="0" fontId="11" fillId="0" borderId="10" xfId="0" applyFont="1" applyBorder="1"/>
    <xf numFmtId="0" fontId="11" fillId="0" borderId="11" xfId="0" applyFont="1" applyBorder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colors>
    <mruColors>
      <color rgb="FF33CC33"/>
      <color rgb="FF99FF33"/>
      <color rgb="FF33CCFF"/>
      <color rgb="FF00FF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9"/>
    </mc:Choice>
    <mc:Fallback>
      <c:style val="9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29513368721748"/>
          <c:y val="1.8499885763466044E-2"/>
          <c:w val="0.87212124878838282"/>
          <c:h val="0.8085034912740294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'Sensitivity analysis'!$D$8</c:f>
              <c:strCache>
                <c:ptCount val="1"/>
                <c:pt idx="0">
                  <c:v>LR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'Sensitivity analysis'!$A$9:$A$21</c:f>
              <c:numCache>
                <c:formatCode>General</c:formatCode>
                <c:ptCount val="13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0.5</c:v>
                </c:pt>
                <c:pt idx="7">
                  <c:v>0.6</c:v>
                </c:pt>
                <c:pt idx="8">
                  <c:v>0.7</c:v>
                </c:pt>
                <c:pt idx="9">
                  <c:v>0.8</c:v>
                </c:pt>
                <c:pt idx="10">
                  <c:v>0.9</c:v>
                </c:pt>
                <c:pt idx="11">
                  <c:v>0.95</c:v>
                </c:pt>
                <c:pt idx="12">
                  <c:v>1</c:v>
                </c:pt>
              </c:numCache>
            </c:numRef>
          </c:xVal>
          <c:yVal>
            <c:numRef>
              <c:f>'Sensitivity analysis'!$D$9:$D$21</c:f>
              <c:numCache>
                <c:formatCode>General</c:formatCode>
                <c:ptCount val="13"/>
                <c:pt idx="0">
                  <c:v>0</c:v>
                </c:pt>
                <c:pt idx="1">
                  <c:v>2.3092868239510564</c:v>
                </c:pt>
                <c:pt idx="2">
                  <c:v>2.8821876664742923</c:v>
                </c:pt>
                <c:pt idx="3">
                  <c:v>3.2573808471304631</c:v>
                </c:pt>
                <c:pt idx="4">
                  <c:v>3.3626732254381086</c:v>
                </c:pt>
                <c:pt idx="5">
                  <c:v>3.3698603105284732</c:v>
                </c:pt>
                <c:pt idx="6">
                  <c:v>3.3144637408467883</c:v>
                </c:pt>
                <c:pt idx="7">
                  <c:v>3.196907304715912</c:v>
                </c:pt>
                <c:pt idx="8">
                  <c:v>2.9933169477802184</c:v>
                </c:pt>
                <c:pt idx="9">
                  <c:v>2.6368624065182211</c:v>
                </c:pt>
                <c:pt idx="10">
                  <c:v>1.9297475949688869</c:v>
                </c:pt>
                <c:pt idx="11">
                  <c:v>1.2530482955651405</c:v>
                </c:pt>
                <c:pt idx="12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'Sensitivity analysis'!$F$8</c:f>
              <c:strCache>
                <c:ptCount val="1"/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'Sensitivity analysis'!$A$10:$A$20</c:f>
              <c:numCache>
                <c:formatCode>General</c:formatCode>
                <c:ptCount val="11"/>
                <c:pt idx="0">
                  <c:v>0.05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0.95</c:v>
                </c:pt>
              </c:numCache>
            </c:numRef>
          </c:xVal>
          <c:yVal>
            <c:numRef>
              <c:f>'Sensitivity analysis'!$F$10:$F$20</c:f>
              <c:numCache>
                <c:formatCode>General</c:formatCode>
                <c:ptCount val="1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028160"/>
        <c:axId val="158030080"/>
      </c:scatterChart>
      <c:valAx>
        <c:axId val="158028160"/>
        <c:scaling>
          <c:orientation val="minMax"/>
          <c:max val="1"/>
        </c:scaling>
        <c:delete val="0"/>
        <c:axPos val="b"/>
        <c:title>
          <c:tx>
            <c:rich>
              <a:bodyPr/>
              <a:lstStyle/>
              <a:p>
                <a:pPr>
                  <a:defRPr sz="1800"/>
                </a:pPr>
                <a:r>
                  <a:rPr lang="en-GB" sz="1800"/>
                  <a:t>Probability of dropout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en-US"/>
          </a:p>
        </c:txPr>
        <c:crossAx val="158030080"/>
        <c:crosses val="autoZero"/>
        <c:crossBetween val="midCat"/>
      </c:valAx>
      <c:valAx>
        <c:axId val="15803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US" sz="1800"/>
                  <a:t>Likelihood Ratio</a:t>
                </a:r>
              </a:p>
            </c:rich>
          </c:tx>
          <c:layout>
            <c:manualLayout>
              <c:xMode val="edge"/>
              <c:yMode val="edge"/>
              <c:x val="4.1742782152230972E-3"/>
              <c:y val="0.2768574603559564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en-US"/>
          </a:p>
        </c:txPr>
        <c:crossAx val="158028160"/>
        <c:crosses val="autoZero"/>
        <c:crossBetween val="midCat"/>
      </c:valAx>
    </c:plotArea>
    <c:plotVisOnly val="1"/>
    <c:dispBlanksAs val="gap"/>
    <c:showDLblsOverMax val="0"/>
  </c:chart>
  <c:spPr>
    <a:solidFill>
      <a:schemeClr val="accent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'Sensitivity analysis'!$D$44</c:f>
              <c:strCache>
                <c:ptCount val="1"/>
                <c:pt idx="0">
                  <c:v>LR</c:v>
                </c:pt>
              </c:strCache>
            </c:strRef>
          </c:tx>
          <c:spPr>
            <a:ln w="3810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'Sensitivity analysis'!$A$45:$A$57</c:f>
              <c:numCache>
                <c:formatCode>General</c:formatCode>
                <c:ptCount val="13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0.5</c:v>
                </c:pt>
                <c:pt idx="7">
                  <c:v>0.6</c:v>
                </c:pt>
                <c:pt idx="8">
                  <c:v>0.7</c:v>
                </c:pt>
                <c:pt idx="9">
                  <c:v>0.8</c:v>
                </c:pt>
                <c:pt idx="10">
                  <c:v>0.9</c:v>
                </c:pt>
                <c:pt idx="11">
                  <c:v>0.95</c:v>
                </c:pt>
                <c:pt idx="12">
                  <c:v>0.999</c:v>
                </c:pt>
              </c:numCache>
            </c:numRef>
          </c:xVal>
          <c:yVal>
            <c:numRef>
              <c:f>'Sensitivity analysis'!$D$45:$D$57</c:f>
              <c:numCache>
                <c:formatCode>General</c:formatCode>
                <c:ptCount val="13"/>
                <c:pt idx="0">
                  <c:v>0</c:v>
                </c:pt>
                <c:pt idx="1">
                  <c:v>1.0370133284977958E-2</c:v>
                </c:pt>
                <c:pt idx="2">
                  <c:v>2.1775783584434015E-2</c:v>
                </c:pt>
                <c:pt idx="3">
                  <c:v>4.8371417625154803E-2</c:v>
                </c:pt>
                <c:pt idx="4">
                  <c:v>8.154699088732538E-2</c:v>
                </c:pt>
                <c:pt idx="5">
                  <c:v>0.12400389977421306</c:v>
                </c:pt>
                <c:pt idx="6">
                  <c:v>0.18006331180782201</c:v>
                </c:pt>
                <c:pt idx="7">
                  <c:v>0.25692219518102305</c:v>
                </c:pt>
                <c:pt idx="8">
                  <c:v>0.36673138686022694</c:v>
                </c:pt>
                <c:pt idx="9">
                  <c:v>0.52653348254717214</c:v>
                </c:pt>
                <c:pt idx="10">
                  <c:v>0.70378874025317228</c:v>
                </c:pt>
                <c:pt idx="11">
                  <c:v>0.6361698798045895</c:v>
                </c:pt>
                <c:pt idx="12">
                  <c:v>2.2192924033762648E-2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050944"/>
        <c:axId val="158069504"/>
      </c:scatterChart>
      <c:valAx>
        <c:axId val="158050944"/>
        <c:scaling>
          <c:orientation val="minMax"/>
          <c:max val="1"/>
        </c:scaling>
        <c:delete val="0"/>
        <c:axPos val="b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 b="1" i="0" baseline="0">
                    <a:effectLst/>
                  </a:rPr>
                  <a:t>Probability of dropout</a:t>
                </a:r>
                <a:endParaRPr lang="en-GB">
                  <a:effectLst/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en-US"/>
          </a:p>
        </c:txPr>
        <c:crossAx val="158069504"/>
        <c:crosses val="autoZero"/>
        <c:crossBetween val="midCat"/>
      </c:valAx>
      <c:valAx>
        <c:axId val="158069504"/>
        <c:scaling>
          <c:orientation val="minMax"/>
          <c:max val="1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600"/>
                  <a:t>Likelihood ratio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en-US"/>
          </a:p>
        </c:txPr>
        <c:crossAx val="158050944"/>
        <c:crosses val="autoZero"/>
        <c:crossBetween val="midCat"/>
      </c:valAx>
    </c:plotArea>
    <c:plotVisOnly val="1"/>
    <c:dispBlanksAs val="gap"/>
    <c:showDLblsOverMax val="0"/>
  </c:chart>
  <c:spPr>
    <a:solidFill>
      <a:schemeClr val="accent2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535781</xdr:colOff>
      <xdr:row>1</xdr:row>
      <xdr:rowOff>163712</xdr:rowOff>
    </xdr:from>
    <xdr:to>
      <xdr:col>23</xdr:col>
      <xdr:colOff>357188</xdr:colOff>
      <xdr:row>22</xdr:row>
      <xdr:rowOff>312539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4362450</xdr:rowOff>
        </xdr:from>
        <xdr:to>
          <xdr:col>3</xdr:col>
          <xdr:colOff>19050</xdr:colOff>
          <xdr:row>0</xdr:row>
          <xdr:rowOff>4867275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Press Me</a:t>
              </a:r>
              <a:endParaRPr lang="en-GB"/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1190625</xdr:colOff>
      <xdr:row>10</xdr:row>
      <xdr:rowOff>104179</xdr:rowOff>
    </xdr:from>
    <xdr:ext cx="2664024" cy="2064989"/>
    <xdr:sp macro="" textlink="">
      <xdr:nvSpPr>
        <xdr:cNvPr id="4" name="TextBox 3"/>
        <xdr:cNvSpPr txBox="1"/>
      </xdr:nvSpPr>
      <xdr:spPr>
        <a:xfrm>
          <a:off x="5149453" y="2113359"/>
          <a:ext cx="2664024" cy="20649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800">
              <a:solidFill>
                <a:srgbClr val="FF0000"/>
              </a:solidFill>
            </a:rPr>
            <a:t>Notes:</a:t>
          </a:r>
        </a:p>
        <a:p>
          <a:endParaRPr lang="en-GB" sz="1800">
            <a:solidFill>
              <a:srgbClr val="FF0000"/>
            </a:solidFill>
          </a:endParaRPr>
        </a:p>
        <a:p>
          <a:r>
            <a:rPr lang="en-GB" sz="1800">
              <a:solidFill>
                <a:srgbClr val="FF0000"/>
              </a:solidFill>
            </a:rPr>
            <a:t>Input parameters</a:t>
          </a:r>
          <a:r>
            <a:rPr lang="en-GB" sz="1800" baseline="0">
              <a:solidFill>
                <a:srgbClr val="FF0000"/>
              </a:solidFill>
            </a:rPr>
            <a:t> in cells A2:E2</a:t>
          </a:r>
        </a:p>
        <a:p>
          <a:endParaRPr lang="en-GB" sz="1800" baseline="0">
            <a:solidFill>
              <a:srgbClr val="FF0000"/>
            </a:solidFill>
          </a:endParaRPr>
        </a:p>
        <a:p>
          <a:r>
            <a:rPr lang="en-GB" sz="1800" baseline="0">
              <a:solidFill>
                <a:srgbClr val="FF0000"/>
              </a:solidFill>
            </a:rPr>
            <a:t>Press button to generate graph</a:t>
          </a:r>
          <a:endParaRPr lang="en-GB" sz="1800">
            <a:solidFill>
              <a:srgbClr val="FF0000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981075</xdr:colOff>
          <xdr:row>51</xdr:row>
          <xdr:rowOff>76200</xdr:rowOff>
        </xdr:from>
        <xdr:to>
          <xdr:col>10</xdr:col>
          <xdr:colOff>581025</xdr:colOff>
          <xdr:row>68</xdr:row>
          <xdr:rowOff>85725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771525</xdr:colOff>
          <xdr:row>36</xdr:row>
          <xdr:rowOff>0</xdr:rowOff>
        </xdr:from>
        <xdr:to>
          <xdr:col>3</xdr:col>
          <xdr:colOff>361950</xdr:colOff>
          <xdr:row>40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PRESS ME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70</xdr:row>
          <xdr:rowOff>57150</xdr:rowOff>
        </xdr:from>
        <xdr:to>
          <xdr:col>11</xdr:col>
          <xdr:colOff>533400</xdr:colOff>
          <xdr:row>76</xdr:row>
          <xdr:rowOff>19050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491131</xdr:colOff>
      <xdr:row>40</xdr:row>
      <xdr:rowOff>178594</xdr:rowOff>
    </xdr:from>
    <xdr:to>
      <xdr:col>22</xdr:col>
      <xdr:colOff>476248</xdr:colOff>
      <xdr:row>68</xdr:row>
      <xdr:rowOff>59531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372070</xdr:colOff>
      <xdr:row>0</xdr:row>
      <xdr:rowOff>193475</xdr:rowOff>
    </xdr:from>
    <xdr:ext cx="16728282" cy="530658"/>
    <xdr:sp macro="" textlink="">
      <xdr:nvSpPr>
        <xdr:cNvPr id="3" name="TextBox 2"/>
        <xdr:cNvSpPr txBox="1"/>
      </xdr:nvSpPr>
      <xdr:spPr>
        <a:xfrm>
          <a:off x="372070" y="193475"/>
          <a:ext cx="16728282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2800"/>
            <a:t>This spreadsheet</a:t>
          </a:r>
          <a:r>
            <a:rPr lang="en-GB" sz="2800" baseline="0"/>
            <a:t> simulates a likelihood ratio conditioned on probability of dropout and probability of drop-in</a:t>
          </a:r>
          <a:endParaRPr lang="en-GB" sz="2800"/>
        </a:p>
      </xdr:txBody>
    </xdr:sp>
    <xdr:clientData/>
  </xdr:oneCellAnchor>
  <xdr:twoCellAnchor>
    <xdr:from>
      <xdr:col>0</xdr:col>
      <xdr:colOff>119061</xdr:colOff>
      <xdr:row>0</xdr:row>
      <xdr:rowOff>654844</xdr:rowOff>
    </xdr:from>
    <xdr:to>
      <xdr:col>9</xdr:col>
      <xdr:colOff>372070</xdr:colOff>
      <xdr:row>0</xdr:row>
      <xdr:rowOff>4182070</xdr:rowOff>
    </xdr:to>
    <xdr:sp macro="" textlink="">
      <xdr:nvSpPr>
        <xdr:cNvPr id="6" name="TextBox 5"/>
        <xdr:cNvSpPr txBox="1"/>
      </xdr:nvSpPr>
      <xdr:spPr>
        <a:xfrm>
          <a:off x="119061" y="654844"/>
          <a:ext cx="9539884" cy="3527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800">
              <a:solidFill>
                <a:srgbClr val="0070C0"/>
              </a:solidFill>
            </a:rPr>
            <a:t>Prosecution</a:t>
          </a:r>
          <a:r>
            <a:rPr lang="en-GB" sz="1800" baseline="0">
              <a:solidFill>
                <a:srgbClr val="0070C0"/>
              </a:solidFill>
            </a:rPr>
            <a:t> hypothesis: Suspect (S)     </a:t>
          </a:r>
        </a:p>
        <a:p>
          <a:r>
            <a:rPr lang="en-GB" sz="1800" baseline="0">
              <a:solidFill>
                <a:srgbClr val="0070C0"/>
              </a:solidFill>
            </a:rPr>
            <a:t> Defence hypothesis:  Unknown (U) </a:t>
          </a:r>
          <a:endParaRPr lang="en-GB" sz="1800"/>
        </a:p>
        <a:p>
          <a:r>
            <a:rPr lang="en-GB" sz="1600" b="1"/>
            <a:t>Instructions:</a:t>
          </a:r>
        </a:p>
        <a:p>
          <a:r>
            <a:rPr lang="en-GB" sz="1600" b="0"/>
            <a:t>1) Simple example of one allele dropout</a:t>
          </a:r>
        </a:p>
        <a:p>
          <a:r>
            <a:rPr lang="en-GB" sz="1600"/>
            <a:t>2) Input an</a:t>
          </a:r>
          <a:r>
            <a:rPr lang="en-GB" sz="1600" baseline="0"/>
            <a:t> allele frequency in cell E2  (for simplicity, we can only use one frequency which is applied to both alleles of the (ab) heterozygote)</a:t>
          </a:r>
        </a:p>
        <a:p>
          <a:r>
            <a:rPr lang="en-GB" sz="1600" baseline="0"/>
            <a:t>3) Input an appropriate level of </a:t>
          </a:r>
          <a:r>
            <a:rPr lang="en-GB" sz="1600" i="1" baseline="0"/>
            <a:t>C</a:t>
          </a:r>
          <a:r>
            <a:rPr lang="en-GB" sz="1600" baseline="0"/>
            <a:t> in cell C2 (probability of drop-in). A level of 0.05 is typical.</a:t>
          </a:r>
        </a:p>
        <a:p>
          <a:r>
            <a:rPr lang="en-GB" sz="1600" baseline="0"/>
            <a:t>4) Press the button below  (it says 'press me') and the macro will plot the LR relative to the calculations in </a:t>
          </a:r>
          <a:r>
            <a:rPr lang="en-GB" sz="1600" baseline="0">
              <a:solidFill>
                <a:srgbClr val="00B0F0"/>
              </a:solidFill>
            </a:rPr>
            <a:t>the blue shaded cells</a:t>
          </a:r>
          <a:r>
            <a:rPr lang="en-GB" sz="1600" baseline="0">
              <a:solidFill>
                <a:srgbClr val="66CCFF"/>
              </a:solidFill>
            </a:rPr>
            <a:t> </a:t>
          </a:r>
          <a:r>
            <a:rPr lang="en-GB" sz="1600" baseline="0"/>
            <a:t>below. We cycle through all possibilities of PrD 0 - 1 and produce the plot on the right from this data.</a:t>
          </a:r>
        </a:p>
        <a:p>
          <a:r>
            <a:rPr lang="en-GB" sz="1600" baseline="0"/>
            <a:t>5) If you want to, you can change probability of Dropout (D)in cell A2 to provide an exact LR in cell I2.</a:t>
          </a:r>
        </a:p>
        <a:p>
          <a:r>
            <a:rPr lang="en-GB" sz="1600" baseline="0"/>
            <a:t>6) Note that Dbar and Cbar (probabilities of no-dropout or dropin are automatically updated</a:t>
          </a:r>
        </a:p>
        <a:p>
          <a:r>
            <a:rPr lang="en-GB" sz="1600" baseline="0"/>
            <a:t>7) The second example also uses your input data in cells A2:D2</a:t>
          </a:r>
          <a:endParaRPr lang="en-GB" sz="1600"/>
        </a:p>
      </xdr:txBody>
    </xdr:sp>
    <xdr:clientData/>
  </xdr:twoCellAnchor>
  <xdr:twoCellAnchor>
    <xdr:from>
      <xdr:col>9</xdr:col>
      <xdr:colOff>446482</xdr:colOff>
      <xdr:row>0</xdr:row>
      <xdr:rowOff>684609</xdr:rowOff>
    </xdr:from>
    <xdr:to>
      <xdr:col>23</xdr:col>
      <xdr:colOff>267889</xdr:colOff>
      <xdr:row>0</xdr:row>
      <xdr:rowOff>4851797</xdr:rowOff>
    </xdr:to>
    <xdr:sp macro="" textlink="">
      <xdr:nvSpPr>
        <xdr:cNvPr id="8" name="TextBox 7"/>
        <xdr:cNvSpPr txBox="1"/>
      </xdr:nvSpPr>
      <xdr:spPr>
        <a:xfrm>
          <a:off x="9048748" y="684609"/>
          <a:ext cx="8364141" cy="416718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2000">
              <a:solidFill>
                <a:srgbClr val="002060"/>
              </a:solidFill>
            </a:rPr>
            <a:t>The DNA profile from the crime stain looks like this:</a:t>
          </a:r>
        </a:p>
        <a:p>
          <a:r>
            <a:rPr lang="en-GB" sz="2000">
              <a:solidFill>
                <a:srgbClr val="002060"/>
              </a:solidFill>
            </a:rPr>
            <a:t>                                      a                    </a:t>
          </a:r>
          <a:r>
            <a:rPr lang="en-GB" sz="2000" baseline="0">
              <a:solidFill>
                <a:srgbClr val="002060"/>
              </a:solidFill>
            </a:rPr>
            <a:t> </a:t>
          </a:r>
          <a:r>
            <a:rPr lang="en-GB" sz="2000">
              <a:solidFill>
                <a:srgbClr val="002060"/>
              </a:solidFill>
            </a:rPr>
            <a:t>  b</a:t>
          </a:r>
        </a:p>
        <a:p>
          <a:endParaRPr lang="en-GB" sz="2000">
            <a:solidFill>
              <a:srgbClr val="002060"/>
            </a:solidFill>
          </a:endParaRPr>
        </a:p>
        <a:p>
          <a:endParaRPr lang="en-GB" sz="2000">
            <a:solidFill>
              <a:srgbClr val="002060"/>
            </a:solidFill>
          </a:endParaRPr>
        </a:p>
        <a:p>
          <a:endParaRPr lang="en-GB" sz="2000">
            <a:solidFill>
              <a:srgbClr val="002060"/>
            </a:solidFill>
          </a:endParaRPr>
        </a:p>
        <a:p>
          <a:r>
            <a:rPr lang="en-GB" sz="2000">
              <a:solidFill>
                <a:srgbClr val="002060"/>
              </a:solidFill>
            </a:rPr>
            <a:t>And the DNA profile</a:t>
          </a:r>
          <a:r>
            <a:rPr lang="en-GB" sz="2000" baseline="0">
              <a:solidFill>
                <a:srgbClr val="002060"/>
              </a:solidFill>
            </a:rPr>
            <a:t> from the reference sample (Suspect) looks like this:</a:t>
          </a:r>
        </a:p>
        <a:p>
          <a:endParaRPr lang="en-GB" sz="2000" baseline="0">
            <a:solidFill>
              <a:srgbClr val="002060"/>
            </a:solidFill>
          </a:endParaRPr>
        </a:p>
        <a:p>
          <a:endParaRPr lang="en-GB" sz="2000" baseline="0">
            <a:solidFill>
              <a:srgbClr val="002060"/>
            </a:solidFill>
          </a:endParaRPr>
        </a:p>
        <a:p>
          <a:endParaRPr lang="en-GB" sz="2000" baseline="0">
            <a:solidFill>
              <a:srgbClr val="002060"/>
            </a:solidFill>
          </a:endParaRPr>
        </a:p>
        <a:p>
          <a:endParaRPr lang="en-GB" sz="1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Prosecution</a:t>
          </a:r>
          <a:r>
            <a:rPr lang="en-GB" sz="1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hypothesis: Suspect (S)      </a:t>
          </a:r>
        </a:p>
        <a:p>
          <a:r>
            <a:rPr lang="en-GB" sz="1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Defence hypothesis:  Unknown(U) </a:t>
          </a:r>
        </a:p>
        <a:p>
          <a:r>
            <a:rPr lang="en-GB" sz="18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So</a:t>
          </a:r>
          <a:r>
            <a:rPr lang="en-GB" sz="18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IF </a:t>
          </a:r>
          <a:r>
            <a:rPr lang="en-GB" sz="18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Hp is true then dropout of allele b must have occurred</a:t>
          </a:r>
          <a:endParaRPr lang="en-GB" sz="24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29765</xdr:colOff>
      <xdr:row>0</xdr:row>
      <xdr:rowOff>3765351</xdr:rowOff>
    </xdr:from>
    <xdr:to>
      <xdr:col>17</xdr:col>
      <xdr:colOff>208359</xdr:colOff>
      <xdr:row>0</xdr:row>
      <xdr:rowOff>3780234</xdr:rowOff>
    </xdr:to>
    <xdr:cxnSp macro="">
      <xdr:nvCxnSpPr>
        <xdr:cNvPr id="11" name="Straight Connector 10"/>
        <xdr:cNvCxnSpPr/>
      </xdr:nvCxnSpPr>
      <xdr:spPr>
        <a:xfrm>
          <a:off x="10462617" y="3765351"/>
          <a:ext cx="3229570" cy="148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14880</xdr:colOff>
      <xdr:row>0</xdr:row>
      <xdr:rowOff>1428749</xdr:rowOff>
    </xdr:from>
    <xdr:to>
      <xdr:col>13</xdr:col>
      <xdr:colOff>357186</xdr:colOff>
      <xdr:row>0</xdr:row>
      <xdr:rowOff>2187773</xdr:rowOff>
    </xdr:to>
    <xdr:sp macro="" textlink="">
      <xdr:nvSpPr>
        <xdr:cNvPr id="17" name="Isosceles Triangle 16"/>
        <xdr:cNvSpPr/>
      </xdr:nvSpPr>
      <xdr:spPr>
        <a:xfrm>
          <a:off x="11057927" y="1428749"/>
          <a:ext cx="342306" cy="759024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271469</xdr:colOff>
      <xdr:row>0</xdr:row>
      <xdr:rowOff>1473397</xdr:rowOff>
    </xdr:from>
    <xdr:to>
      <xdr:col>15</xdr:col>
      <xdr:colOff>550662</xdr:colOff>
      <xdr:row>0</xdr:row>
      <xdr:rowOff>2191344</xdr:rowOff>
    </xdr:to>
    <xdr:sp macro="" textlink="">
      <xdr:nvSpPr>
        <xdr:cNvPr id="18" name="Isosceles Triangle 17"/>
        <xdr:cNvSpPr/>
      </xdr:nvSpPr>
      <xdr:spPr>
        <a:xfrm>
          <a:off x="12534907" y="1473397"/>
          <a:ext cx="279193" cy="717947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14881</xdr:colOff>
      <xdr:row>0</xdr:row>
      <xdr:rowOff>2187772</xdr:rowOff>
    </xdr:from>
    <xdr:to>
      <xdr:col>17</xdr:col>
      <xdr:colOff>193475</xdr:colOff>
      <xdr:row>0</xdr:row>
      <xdr:rowOff>2202655</xdr:rowOff>
    </xdr:to>
    <xdr:cxnSp macro="">
      <xdr:nvCxnSpPr>
        <xdr:cNvPr id="19" name="Straight Connector 18"/>
        <xdr:cNvCxnSpPr/>
      </xdr:nvCxnSpPr>
      <xdr:spPr>
        <a:xfrm>
          <a:off x="10447733" y="2187772"/>
          <a:ext cx="3229570" cy="148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119061</xdr:colOff>
      <xdr:row>0</xdr:row>
      <xdr:rowOff>3021211</xdr:rowOff>
    </xdr:from>
    <xdr:to>
      <xdr:col>13</xdr:col>
      <xdr:colOff>461367</xdr:colOff>
      <xdr:row>0</xdr:row>
      <xdr:rowOff>3780235</xdr:rowOff>
    </xdr:to>
    <xdr:sp macro="" textlink="">
      <xdr:nvSpPr>
        <xdr:cNvPr id="20" name="Isosceles Triangle 19"/>
        <xdr:cNvSpPr/>
      </xdr:nvSpPr>
      <xdr:spPr>
        <a:xfrm>
          <a:off x="11162108" y="3021211"/>
          <a:ext cx="342306" cy="759024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44648</xdr:colOff>
      <xdr:row>0</xdr:row>
      <xdr:rowOff>3765351</xdr:rowOff>
    </xdr:from>
    <xdr:to>
      <xdr:col>17</xdr:col>
      <xdr:colOff>223242</xdr:colOff>
      <xdr:row>0</xdr:row>
      <xdr:rowOff>3780234</xdr:rowOff>
    </xdr:to>
    <xdr:cxnSp macro="">
      <xdr:nvCxnSpPr>
        <xdr:cNvPr id="21" name="Straight Connector 20"/>
        <xdr:cNvCxnSpPr/>
      </xdr:nvCxnSpPr>
      <xdr:spPr>
        <a:xfrm>
          <a:off x="10477500" y="3765351"/>
          <a:ext cx="3229570" cy="148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89297</xdr:colOff>
      <xdr:row>24</xdr:row>
      <xdr:rowOff>104181</xdr:rowOff>
    </xdr:from>
    <xdr:ext cx="9614297" cy="5715000"/>
    <xdr:sp macro="" textlink="">
      <xdr:nvSpPr>
        <xdr:cNvPr id="12" name="TextBox 11"/>
        <xdr:cNvSpPr txBox="1"/>
      </xdr:nvSpPr>
      <xdr:spPr>
        <a:xfrm>
          <a:off x="9986367" y="10804923"/>
          <a:ext cx="9614297" cy="5715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GB" sz="2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 DNA profile from the crime stain looks like this:</a:t>
          </a:r>
          <a:endParaRPr lang="en-GB" sz="2400">
            <a:effectLst/>
          </a:endParaRPr>
        </a:p>
        <a:p>
          <a:r>
            <a:rPr lang="en-GB" sz="2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a                  </a:t>
          </a:r>
          <a:r>
            <a:rPr lang="en-GB" sz="2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GB" sz="2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c         </a:t>
          </a:r>
          <a:r>
            <a:rPr lang="en-GB" sz="2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2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en-GB" sz="2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GB" sz="2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GB" sz="2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2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And the DNA profile</a:t>
          </a:r>
          <a:r>
            <a:rPr lang="en-GB" sz="2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from the reference sample (Suspect) looks like this:</a:t>
          </a:r>
        </a:p>
        <a:p>
          <a:r>
            <a:rPr lang="en-GB" sz="2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a                   b</a:t>
          </a:r>
        </a:p>
        <a:p>
          <a:endParaRPr lang="en-GB" sz="24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GB" sz="24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GB" sz="2400">
            <a:effectLst/>
          </a:endParaRPr>
        </a:p>
        <a:p>
          <a:r>
            <a:rPr lang="en-GB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Prosecution</a:t>
          </a:r>
          <a:r>
            <a:rPr lang="en-GB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hypothesis: Suspect (S)      </a:t>
          </a:r>
          <a:endParaRPr lang="en-GB" sz="2000">
            <a:effectLst/>
          </a:endParaRPr>
        </a:p>
        <a:p>
          <a:r>
            <a:rPr lang="en-GB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Defence hypothesis:  Unknown(U) </a:t>
          </a:r>
          <a:endParaRPr lang="en-GB" sz="2000">
            <a:effectLst/>
          </a:endParaRPr>
        </a:p>
        <a:p>
          <a:endParaRPr lang="en-GB" sz="24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</a:t>
          </a:r>
          <a:r>
            <a:rPr lang="en-GB" sz="2000" u="sng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IF </a:t>
          </a:r>
          <a:r>
            <a:rPr lang="en-GB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Hp is true then dropout of allele b must have occurred and drop-in of allele c must have occurred (of course this is unlikely and the LR should reflect this</a:t>
          </a:r>
          <a:endParaRPr lang="en-GB" sz="2000">
            <a:effectLst/>
          </a:endParaRPr>
        </a:p>
        <a:p>
          <a:endParaRPr lang="en-GB" sz="1100"/>
        </a:p>
      </xdr:txBody>
    </xdr:sp>
    <xdr:clientData/>
  </xdr:oneCellAnchor>
  <xdr:twoCellAnchor>
    <xdr:from>
      <xdr:col>16</xdr:col>
      <xdr:colOff>386953</xdr:colOff>
      <xdr:row>24</xdr:row>
      <xdr:rowOff>1116211</xdr:rowOff>
    </xdr:from>
    <xdr:to>
      <xdr:col>17</xdr:col>
      <xdr:colOff>119063</xdr:colOff>
      <xdr:row>24</xdr:row>
      <xdr:rowOff>1875235</xdr:rowOff>
    </xdr:to>
    <xdr:sp macro="" textlink="">
      <xdr:nvSpPr>
        <xdr:cNvPr id="23" name="Isosceles Triangle 22"/>
        <xdr:cNvSpPr/>
      </xdr:nvSpPr>
      <xdr:spPr>
        <a:xfrm>
          <a:off x="13945195" y="11816953"/>
          <a:ext cx="342306" cy="759024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19</xdr:col>
      <xdr:colOff>152409</xdr:colOff>
      <xdr:row>24</xdr:row>
      <xdr:rowOff>3199804</xdr:rowOff>
    </xdr:from>
    <xdr:to>
      <xdr:col>19</xdr:col>
      <xdr:colOff>431602</xdr:colOff>
      <xdr:row>26</xdr:row>
      <xdr:rowOff>107751</xdr:rowOff>
    </xdr:to>
    <xdr:sp macro="" textlink="">
      <xdr:nvSpPr>
        <xdr:cNvPr id="24" name="Isosceles Triangle 23"/>
        <xdr:cNvSpPr/>
      </xdr:nvSpPr>
      <xdr:spPr>
        <a:xfrm>
          <a:off x="15541237" y="13900546"/>
          <a:ext cx="279193" cy="717947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386954</xdr:colOff>
      <xdr:row>24</xdr:row>
      <xdr:rowOff>1875234</xdr:rowOff>
    </xdr:from>
    <xdr:to>
      <xdr:col>22</xdr:col>
      <xdr:colOff>342305</xdr:colOff>
      <xdr:row>24</xdr:row>
      <xdr:rowOff>1890117</xdr:rowOff>
    </xdr:to>
    <xdr:cxnSp macro="">
      <xdr:nvCxnSpPr>
        <xdr:cNvPr id="25" name="Straight Connector 24"/>
        <xdr:cNvCxnSpPr/>
      </xdr:nvCxnSpPr>
      <xdr:spPr>
        <a:xfrm>
          <a:off x="13335001" y="12575976"/>
          <a:ext cx="4226718" cy="148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408989</xdr:colOff>
      <xdr:row>24</xdr:row>
      <xdr:rowOff>1179314</xdr:rowOff>
    </xdr:from>
    <xdr:to>
      <xdr:col>22</xdr:col>
      <xdr:colOff>77987</xdr:colOff>
      <xdr:row>24</xdr:row>
      <xdr:rowOff>1897261</xdr:rowOff>
    </xdr:to>
    <xdr:sp macro="" textlink="">
      <xdr:nvSpPr>
        <xdr:cNvPr id="26" name="Isosceles Triangle 25"/>
        <xdr:cNvSpPr/>
      </xdr:nvSpPr>
      <xdr:spPr>
        <a:xfrm>
          <a:off x="17018208" y="11880056"/>
          <a:ext cx="279193" cy="717947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461366</xdr:colOff>
      <xdr:row>24</xdr:row>
      <xdr:rowOff>3155156</xdr:rowOff>
    </xdr:from>
    <xdr:to>
      <xdr:col>17</xdr:col>
      <xdr:colOff>193476</xdr:colOff>
      <xdr:row>26</xdr:row>
      <xdr:rowOff>104180</xdr:rowOff>
    </xdr:to>
    <xdr:sp macro="" textlink="">
      <xdr:nvSpPr>
        <xdr:cNvPr id="28" name="Isosceles Triangle 27"/>
        <xdr:cNvSpPr/>
      </xdr:nvSpPr>
      <xdr:spPr>
        <a:xfrm>
          <a:off x="14019608" y="13855898"/>
          <a:ext cx="342306" cy="759024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461367</xdr:colOff>
      <xdr:row>26</xdr:row>
      <xdr:rowOff>104179</xdr:rowOff>
    </xdr:from>
    <xdr:to>
      <xdr:col>22</xdr:col>
      <xdr:colOff>416718</xdr:colOff>
      <xdr:row>26</xdr:row>
      <xdr:rowOff>119062</xdr:rowOff>
    </xdr:to>
    <xdr:cxnSp macro="">
      <xdr:nvCxnSpPr>
        <xdr:cNvPr id="29" name="Straight Connector 28"/>
        <xdr:cNvCxnSpPr/>
      </xdr:nvCxnSpPr>
      <xdr:spPr>
        <a:xfrm>
          <a:off x="13409414" y="14614921"/>
          <a:ext cx="4226718" cy="148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24</xdr:row>
      <xdr:rowOff>0</xdr:rowOff>
    </xdr:from>
    <xdr:to>
      <xdr:col>9</xdr:col>
      <xdr:colOff>327422</xdr:colOff>
      <xdr:row>25</xdr:row>
      <xdr:rowOff>163712</xdr:rowOff>
    </xdr:to>
    <xdr:sp macro="" textlink="">
      <xdr:nvSpPr>
        <xdr:cNvPr id="30" name="TextBox 29"/>
        <xdr:cNvSpPr txBox="1"/>
      </xdr:nvSpPr>
      <xdr:spPr>
        <a:xfrm>
          <a:off x="0" y="10700742"/>
          <a:ext cx="9614297" cy="37802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800">
              <a:solidFill>
                <a:srgbClr val="0070C0"/>
              </a:solidFill>
            </a:rPr>
            <a:t>Prosecution</a:t>
          </a:r>
          <a:r>
            <a:rPr lang="en-GB" sz="1800" baseline="0">
              <a:solidFill>
                <a:srgbClr val="0070C0"/>
              </a:solidFill>
            </a:rPr>
            <a:t> hypothesis: Suspect (S)     </a:t>
          </a:r>
        </a:p>
        <a:p>
          <a:r>
            <a:rPr lang="en-GB" sz="1800" baseline="0">
              <a:solidFill>
                <a:srgbClr val="0070C0"/>
              </a:solidFill>
            </a:rPr>
            <a:t> Defence hypothesis:  Unknown (U) </a:t>
          </a:r>
          <a:endParaRPr lang="en-GB" sz="1800"/>
        </a:p>
        <a:p>
          <a:r>
            <a:rPr lang="en-GB" sz="1600" b="1"/>
            <a:t>Instructions:</a:t>
          </a:r>
        </a:p>
        <a:p>
          <a:r>
            <a:rPr lang="en-GB" sz="1600"/>
            <a:t>1) In this example we evaluate the simultaneous effect of drop-out and drop-in</a:t>
          </a:r>
          <a:endParaRPr lang="en-GB" sz="1600" baseline="0"/>
        </a:p>
        <a:p>
          <a:r>
            <a:rPr lang="en-GB" sz="1600" baseline="0"/>
            <a:t>2) You must use the sheet overleaf in worksheet 'QQ calcs' to input thedesignations (only) of three alleles a,b,c, using D18 as an example locus.</a:t>
          </a:r>
        </a:p>
        <a:p>
          <a:r>
            <a:rPr lang="en-GB" sz="1600" baseline="0"/>
            <a:t>3) Once you have done this, return to this sheet.</a:t>
          </a:r>
        </a:p>
        <a:p>
          <a:r>
            <a:rPr lang="en-GB" sz="1600" baseline="0"/>
            <a:t>3) Press the button below  (it says 'press me') and the macro will plot the LR relative to the calculations in </a:t>
          </a:r>
          <a:r>
            <a:rPr lang="en-GB" sz="1600" baseline="0">
              <a:solidFill>
                <a:srgbClr val="00B0F0"/>
              </a:solidFill>
            </a:rPr>
            <a:t>the blue shaded cells</a:t>
          </a:r>
          <a:r>
            <a:rPr lang="en-GB" sz="1600" baseline="0">
              <a:solidFill>
                <a:srgbClr val="66CCFF"/>
              </a:solidFill>
            </a:rPr>
            <a:t> </a:t>
          </a:r>
          <a:r>
            <a:rPr lang="en-GB" sz="1600" baseline="0"/>
            <a:t>below. We cycle through all possibilities of PrD 0 - 1 and produce the plot on the right from this data.</a:t>
          </a:r>
        </a:p>
        <a:p>
          <a:r>
            <a:rPr lang="en-GB" sz="1600" baseline="0"/>
            <a:t>4) If you want to, you can change probability of Dropout (D)in cell A2 to provide an exact LR in cell I2.</a:t>
          </a:r>
        </a:p>
        <a:p>
          <a:r>
            <a:rPr lang="en-GB" sz="1600" baseline="0"/>
            <a:t>5) Note that Dbar and Cbar (probabilities of no-dropout or dropin are automatically updated</a:t>
          </a:r>
        </a:p>
        <a:p>
          <a:r>
            <a:rPr lang="en-GB" sz="1600" baseline="0"/>
            <a:t>6) This example does not use the allele frequency in cellE2, which is reserved for the first example only.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1371600</xdr:colOff>
          <xdr:row>6</xdr:row>
          <xdr:rowOff>209550</xdr:rowOff>
        </xdr:from>
        <xdr:to>
          <xdr:col>13</xdr:col>
          <xdr:colOff>466725</xdr:colOff>
          <xdr:row>8</xdr:row>
          <xdr:rowOff>209550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0.10406</cdr:x>
      <cdr:y>0.01188</cdr:y>
    </cdr:from>
    <cdr:to>
      <cdr:x>0.28228</cdr:x>
      <cdr:y>0.10423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693796" y="59781"/>
          <a:ext cx="1188282" cy="4645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400"/>
            <a:t>2p rule</a:t>
          </a:r>
          <a:r>
            <a:rPr lang="en-GB" sz="1400" baseline="0"/>
            <a:t> applied</a:t>
          </a:r>
          <a:endParaRPr lang="en-GB" sz="14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0.12667</cdr:x>
      <cdr:y>0.09536</cdr:y>
    </cdr:from>
    <cdr:to>
      <cdr:x>0.93556</cdr:x>
      <cdr:y>0.09794</cdr:y>
    </cdr:to>
    <cdr:cxnSp macro="">
      <cdr:nvCxnSpPr>
        <cdr:cNvPr id="3" name="Straight Connector 2"/>
        <cdr:cNvCxnSpPr/>
      </cdr:nvCxnSpPr>
      <cdr:spPr>
        <a:xfrm xmlns:a="http://schemas.openxmlformats.org/drawingml/2006/main" flipV="1">
          <a:off x="848320" y="550664"/>
          <a:ext cx="5417344" cy="14883"/>
        </a:xfrm>
        <a:prstGeom xmlns:a="http://schemas.openxmlformats.org/drawingml/2006/main" prst="line">
          <a:avLst/>
        </a:prstGeom>
        <a:ln xmlns:a="http://schemas.openxmlformats.org/drawingml/2006/main" w="38100">
          <a:solidFill>
            <a:schemeClr val="tx1"/>
          </a:solidFill>
          <a:prstDash val="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526676</xdr:colOff>
      <xdr:row>0</xdr:row>
      <xdr:rowOff>145676</xdr:rowOff>
    </xdr:from>
    <xdr:to>
      <xdr:col>9</xdr:col>
      <xdr:colOff>414618</xdr:colOff>
      <xdr:row>0</xdr:row>
      <xdr:rowOff>1669676</xdr:rowOff>
    </xdr:to>
    <xdr:sp macro="" textlink="">
      <xdr:nvSpPr>
        <xdr:cNvPr id="3" name="TextBox 2"/>
        <xdr:cNvSpPr txBox="1"/>
      </xdr:nvSpPr>
      <xdr:spPr>
        <a:xfrm>
          <a:off x="526676" y="145676"/>
          <a:ext cx="6163236" cy="1524000"/>
        </a:xfrm>
        <a:prstGeom prst="rect">
          <a:avLst/>
        </a:prstGeom>
        <a:solidFill>
          <a:srgbClr val="33CCFF">
            <a:alpha val="23137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Use this spreadsheet </a:t>
          </a:r>
          <a:r>
            <a:rPr lang="en-GB" sz="1400" baseline="0"/>
            <a:t> to input your allelic  designation  in the </a:t>
          </a:r>
          <a:r>
            <a:rPr lang="en-GB" sz="1400" baseline="0">
              <a:solidFill>
                <a:schemeClr val="accent6">
                  <a:lumMod val="75000"/>
                </a:schemeClr>
              </a:solidFill>
            </a:rPr>
            <a:t>orange shaded cells.  The  frequencies are automatically calculated  (do not alter other cells)</a:t>
          </a:r>
        </a:p>
        <a:p>
          <a:endParaRPr lang="en-GB" sz="1400" baseline="0"/>
        </a:p>
        <a:p>
          <a:r>
            <a:rPr lang="en-GB" sz="1400" baseline="0"/>
            <a:t>We use the D18 locus as an example to model the QQ and QQ' probabilities using the formulae below.</a:t>
          </a:r>
          <a:endParaRPr lang="en-GB" sz="1400"/>
        </a:p>
      </xdr:txBody>
    </xdr:sp>
    <xdr:clientData/>
  </xdr:twoCellAnchor>
  <xdr:oneCellAnchor>
    <xdr:from>
      <xdr:col>9</xdr:col>
      <xdr:colOff>504265</xdr:colOff>
      <xdr:row>0</xdr:row>
      <xdr:rowOff>1</xdr:rowOff>
    </xdr:from>
    <xdr:ext cx="9816353" cy="4975412"/>
    <xdr:sp macro="" textlink="">
      <xdr:nvSpPr>
        <xdr:cNvPr id="4" name="TextBox 3"/>
        <xdr:cNvSpPr txBox="1"/>
      </xdr:nvSpPr>
      <xdr:spPr>
        <a:xfrm>
          <a:off x="7048500" y="1"/>
          <a:ext cx="9816353" cy="4975412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GB" sz="1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 DNA profile from the crime stain looks like this:</a:t>
          </a:r>
          <a:endParaRPr lang="en-GB" sz="1800">
            <a:effectLst/>
          </a:endParaRPr>
        </a:p>
        <a:p>
          <a:r>
            <a:rPr lang="en-GB" sz="1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a                  </a:t>
          </a:r>
          <a:r>
            <a:rPr lang="en-GB" sz="18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GB" sz="1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               c         </a:t>
          </a:r>
          <a:r>
            <a:rPr lang="en-GB" sz="18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en-GB" sz="18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GB" sz="18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GB" sz="18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And the DNA profile</a:t>
          </a:r>
          <a:r>
            <a:rPr lang="en-GB" sz="18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from the reference sample (Suspect) looks like this:</a:t>
          </a:r>
        </a:p>
        <a:p>
          <a:r>
            <a:rPr lang="en-GB" sz="18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a                           b</a:t>
          </a:r>
        </a:p>
        <a:p>
          <a:endParaRPr lang="en-GB" sz="18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GB" sz="18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GB" sz="1800">
            <a:effectLst/>
          </a:endParaRPr>
        </a:p>
        <a:p>
          <a:r>
            <a:rPr lang="en-GB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Prosecution</a:t>
          </a:r>
          <a:r>
            <a:rPr lang="en-GB" sz="16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hypothesis: Suspect (S)      </a:t>
          </a:r>
          <a:endParaRPr lang="en-GB" sz="1600">
            <a:effectLst/>
          </a:endParaRPr>
        </a:p>
        <a:p>
          <a:r>
            <a:rPr lang="en-GB" sz="16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Defence hypothesis:  Unknown(U) </a:t>
          </a:r>
          <a:endParaRPr lang="en-GB" sz="18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6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</a:t>
          </a:r>
          <a:r>
            <a:rPr lang="en-GB" sz="1600" i="1" u="sng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IF </a:t>
          </a:r>
          <a:r>
            <a:rPr lang="en-GB" sz="16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Hp is true then dropout of allele b must have occurred and drop-in of allele c must have occurred (of course this is unlikely and the LR should reflect this</a:t>
          </a:r>
        </a:p>
        <a:p>
          <a:endParaRPr lang="en-GB" sz="16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6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It is not known if there is dropout in the crime-stain -alelels a and c are visible but other alleles may have dropped out and we consider this using the Q-allele where  any allele (other than those visualised int he crime stain are considered possible)</a:t>
          </a:r>
          <a:endParaRPr lang="en-GB" sz="1600">
            <a:effectLst/>
          </a:endParaRPr>
        </a:p>
        <a:p>
          <a:endParaRPr lang="en-GB" sz="1100"/>
        </a:p>
      </xdr:txBody>
    </xdr:sp>
    <xdr:clientData/>
  </xdr:oneCellAnchor>
  <xdr:twoCellAnchor>
    <xdr:from>
      <xdr:col>15</xdr:col>
      <xdr:colOff>554165</xdr:colOff>
      <xdr:row>0</xdr:row>
      <xdr:rowOff>582706</xdr:rowOff>
    </xdr:from>
    <xdr:to>
      <xdr:col>16</xdr:col>
      <xdr:colOff>291353</xdr:colOff>
      <xdr:row>0</xdr:row>
      <xdr:rowOff>1341730</xdr:rowOff>
    </xdr:to>
    <xdr:sp macro="" textlink="">
      <xdr:nvSpPr>
        <xdr:cNvPr id="5" name="Isosceles Triangle 4"/>
        <xdr:cNvSpPr/>
      </xdr:nvSpPr>
      <xdr:spPr>
        <a:xfrm>
          <a:off x="10460165" y="582706"/>
          <a:ext cx="342306" cy="759024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334854</xdr:colOff>
      <xdr:row>0</xdr:row>
      <xdr:rowOff>2072387</xdr:rowOff>
    </xdr:from>
    <xdr:to>
      <xdr:col>19</xdr:col>
      <xdr:colOff>8929</xdr:colOff>
      <xdr:row>0</xdr:row>
      <xdr:rowOff>2790334</xdr:rowOff>
    </xdr:to>
    <xdr:sp macro="" textlink="">
      <xdr:nvSpPr>
        <xdr:cNvPr id="6" name="Isosceles Triangle 5"/>
        <xdr:cNvSpPr/>
      </xdr:nvSpPr>
      <xdr:spPr>
        <a:xfrm>
          <a:off x="12056207" y="2072387"/>
          <a:ext cx="279193" cy="717947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549089</xdr:colOff>
      <xdr:row>0</xdr:row>
      <xdr:rowOff>1341729</xdr:rowOff>
    </xdr:from>
    <xdr:to>
      <xdr:col>21</xdr:col>
      <xdr:colOff>539983</xdr:colOff>
      <xdr:row>0</xdr:row>
      <xdr:rowOff>1356612</xdr:rowOff>
    </xdr:to>
    <xdr:cxnSp macro="">
      <xdr:nvCxnSpPr>
        <xdr:cNvPr id="7" name="Straight Connector 6"/>
        <xdr:cNvCxnSpPr/>
      </xdr:nvCxnSpPr>
      <xdr:spPr>
        <a:xfrm>
          <a:off x="9849971" y="1341729"/>
          <a:ext cx="4226718" cy="148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601590</xdr:colOff>
      <xdr:row>0</xdr:row>
      <xdr:rowOff>645809</xdr:rowOff>
    </xdr:from>
    <xdr:to>
      <xdr:col>21</xdr:col>
      <xdr:colOff>275665</xdr:colOff>
      <xdr:row>0</xdr:row>
      <xdr:rowOff>1363756</xdr:rowOff>
    </xdr:to>
    <xdr:sp macro="" textlink="">
      <xdr:nvSpPr>
        <xdr:cNvPr id="8" name="Isosceles Triangle 7"/>
        <xdr:cNvSpPr/>
      </xdr:nvSpPr>
      <xdr:spPr>
        <a:xfrm>
          <a:off x="13533178" y="645809"/>
          <a:ext cx="279193" cy="717947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23460</xdr:colOff>
      <xdr:row>0</xdr:row>
      <xdr:rowOff>2027739</xdr:rowOff>
    </xdr:from>
    <xdr:to>
      <xdr:col>16</xdr:col>
      <xdr:colOff>365766</xdr:colOff>
      <xdr:row>0</xdr:row>
      <xdr:rowOff>2786763</xdr:rowOff>
    </xdr:to>
    <xdr:sp macro="" textlink="">
      <xdr:nvSpPr>
        <xdr:cNvPr id="9" name="Isosceles Triangle 8"/>
        <xdr:cNvSpPr/>
      </xdr:nvSpPr>
      <xdr:spPr>
        <a:xfrm>
          <a:off x="10534578" y="2027739"/>
          <a:ext cx="342306" cy="759024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18384</xdr:colOff>
      <xdr:row>0</xdr:row>
      <xdr:rowOff>2786762</xdr:rowOff>
    </xdr:from>
    <xdr:to>
      <xdr:col>22</xdr:col>
      <xdr:colOff>9278</xdr:colOff>
      <xdr:row>0</xdr:row>
      <xdr:rowOff>2801645</xdr:rowOff>
    </xdr:to>
    <xdr:cxnSp macro="">
      <xdr:nvCxnSpPr>
        <xdr:cNvPr id="10" name="Straight Connector 9"/>
        <xdr:cNvCxnSpPr/>
      </xdr:nvCxnSpPr>
      <xdr:spPr>
        <a:xfrm>
          <a:off x="9924384" y="2786762"/>
          <a:ext cx="4226718" cy="148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w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ctrlProp" Target="../ctrlProps/ctrlProp2.xml"/><Relationship Id="rId5" Type="http://schemas.openxmlformats.org/officeDocument/2006/relationships/image" Target="../media/image1.wmf"/><Relationship Id="rId10" Type="http://schemas.openxmlformats.org/officeDocument/2006/relationships/ctrlProp" Target="../ctrlProps/ctrlProp1.xml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w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Y78"/>
  <sheetViews>
    <sheetView topLeftCell="H31" zoomScale="64" zoomScaleNormal="64" workbookViewId="0">
      <selection activeCell="E50" sqref="E50"/>
    </sheetView>
  </sheetViews>
  <sheetFormatPr defaultRowHeight="15" x14ac:dyDescent="0.25"/>
  <cols>
    <col min="1" max="1" width="9.28515625" style="14" bestFit="1" customWidth="1"/>
    <col min="2" max="2" width="16.42578125" style="14" bestFit="1" customWidth="1"/>
    <col min="3" max="3" width="11.85546875" style="14" customWidth="1"/>
    <col min="4" max="4" width="10.85546875" style="14" customWidth="1"/>
    <col min="5" max="5" width="9.140625" style="14"/>
    <col min="6" max="6" width="20.7109375" style="14" customWidth="1"/>
    <col min="7" max="7" width="22.140625" style="14" customWidth="1"/>
    <col min="8" max="8" width="19.7109375" style="14" customWidth="1"/>
    <col min="9" max="9" width="19" style="14" customWidth="1"/>
    <col min="10" max="16384" width="9.140625" style="14"/>
  </cols>
  <sheetData>
    <row r="1" spans="1:13" ht="408.75" customHeight="1" x14ac:dyDescent="0.4">
      <c r="A1" s="45" t="s">
        <v>0</v>
      </c>
      <c r="B1" s="45" t="s">
        <v>1</v>
      </c>
      <c r="C1" s="45" t="s">
        <v>2</v>
      </c>
      <c r="D1" s="45" t="s">
        <v>3</v>
      </c>
      <c r="E1" s="45" t="s">
        <v>16</v>
      </c>
      <c r="F1" s="45"/>
      <c r="G1" s="13" t="s">
        <v>5</v>
      </c>
      <c r="H1" s="13" t="s">
        <v>6</v>
      </c>
      <c r="I1" s="13" t="s">
        <v>4</v>
      </c>
      <c r="L1" s="15" t="s">
        <v>40</v>
      </c>
    </row>
    <row r="2" spans="1:13" ht="19.5" customHeight="1" x14ac:dyDescent="0.35">
      <c r="A2" s="41">
        <v>0.999</v>
      </c>
      <c r="B2" s="16">
        <f>1-D</f>
        <v>1.0000000000000009E-3</v>
      </c>
      <c r="C2" s="10">
        <v>0.05</v>
      </c>
      <c r="D2" s="17">
        <f>1-C_</f>
        <v>0.95</v>
      </c>
      <c r="E2" s="11">
        <v>0.1</v>
      </c>
      <c r="G2" s="18">
        <f>Dbar*D*Cbar</f>
        <v>9.4905000000000087E-4</v>
      </c>
      <c r="H2" s="19">
        <f>SUM(H3:H6)</f>
        <v>1.9775584375000002E-2</v>
      </c>
      <c r="I2" s="18">
        <f>G2/(H3+H4+H6)</f>
        <v>5.3453655434323913E-2</v>
      </c>
      <c r="J2" s="20"/>
      <c r="L2" s="21" t="s">
        <v>41</v>
      </c>
      <c r="M2" s="22">
        <f>1/(2*p)</f>
        <v>5</v>
      </c>
    </row>
    <row r="3" spans="1:13" ht="15.75" x14ac:dyDescent="0.25">
      <c r="A3" s="14" t="s">
        <v>43</v>
      </c>
      <c r="C3" s="14" t="s">
        <v>42</v>
      </c>
      <c r="G3" s="51" t="s">
        <v>17</v>
      </c>
      <c r="H3" s="18">
        <f>(p^2)*(1-(0.5*Dbar*Dbar))*Cbar</f>
        <v>9.4999952500000023E-3</v>
      </c>
      <c r="I3" s="23"/>
    </row>
    <row r="4" spans="1:13" ht="21" x14ac:dyDescent="0.35">
      <c r="D4" s="24" t="s">
        <v>10</v>
      </c>
      <c r="E4" s="25">
        <f>1/(2*p)</f>
        <v>5</v>
      </c>
      <c r="F4" s="52" t="s">
        <v>45</v>
      </c>
      <c r="G4" s="51" t="s">
        <v>20</v>
      </c>
      <c r="H4" s="18">
        <f>2*p*(1-p)*Dbar*D*Cbar</f>
        <v>1.7082900000000016E-4</v>
      </c>
      <c r="I4" s="23"/>
    </row>
    <row r="5" spans="1:13" ht="21" x14ac:dyDescent="0.35">
      <c r="F5" s="52" t="s">
        <v>57</v>
      </c>
      <c r="G5" s="51" t="s">
        <v>22</v>
      </c>
      <c r="H5" s="18">
        <f>(1-p)*(1-p)*0.5*(D^2)*C_*p</f>
        <v>2.0209520250000002E-3</v>
      </c>
      <c r="I5" s="23"/>
    </row>
    <row r="6" spans="1:13" ht="15.75" x14ac:dyDescent="0.25">
      <c r="F6" s="26"/>
      <c r="G6" s="51" t="s">
        <v>23</v>
      </c>
      <c r="H6" s="18">
        <f>2*(1-p)*(1-p)*(D^2)*C_*p</f>
        <v>8.083808100000001E-3</v>
      </c>
      <c r="I6" s="23"/>
    </row>
    <row r="7" spans="1:13" ht="26.25" x14ac:dyDescent="0.4">
      <c r="A7" s="27" t="s">
        <v>14</v>
      </c>
      <c r="I7"/>
    </row>
    <row r="8" spans="1:13" ht="18.75" x14ac:dyDescent="0.3">
      <c r="A8" s="12" t="s">
        <v>7</v>
      </c>
      <c r="B8" s="12" t="s">
        <v>8</v>
      </c>
      <c r="C8" s="12" t="s">
        <v>9</v>
      </c>
      <c r="D8" s="12" t="s">
        <v>4</v>
      </c>
    </row>
    <row r="9" spans="1:13" ht="18.75" x14ac:dyDescent="0.3">
      <c r="A9" s="12">
        <v>0</v>
      </c>
      <c r="B9" s="12"/>
      <c r="C9" s="12"/>
      <c r="D9" s="12">
        <v>0</v>
      </c>
      <c r="F9" s="28" t="s">
        <v>10</v>
      </c>
    </row>
    <row r="10" spans="1:13" ht="18.75" x14ac:dyDescent="0.3">
      <c r="A10" s="12">
        <v>0.05</v>
      </c>
      <c r="B10" s="12">
        <v>4.5124999999999998E-2</v>
      </c>
      <c r="C10" s="12">
        <v>1.9546895379431606E-2</v>
      </c>
      <c r="D10" s="12">
        <v>2.3092868239510564</v>
      </c>
      <c r="F10" s="14">
        <f>$E$4</f>
        <v>5</v>
      </c>
      <c r="I10" s="14">
        <f>1/(2*0.1)</f>
        <v>5</v>
      </c>
    </row>
    <row r="11" spans="1:13" ht="18.75" x14ac:dyDescent="0.3">
      <c r="A11" s="12">
        <v>0.1</v>
      </c>
      <c r="B11" s="12">
        <v>8.5500000000000007E-2</v>
      </c>
      <c r="C11" s="12">
        <v>2.9689888192726405E-2</v>
      </c>
      <c r="D11" s="12">
        <v>2.8821876664742923</v>
      </c>
      <c r="F11" s="14">
        <f t="shared" ref="F11:F20" si="0">$E$4</f>
        <v>5</v>
      </c>
    </row>
    <row r="12" spans="1:13" ht="18.75" x14ac:dyDescent="0.3">
      <c r="A12" s="12">
        <v>0.2</v>
      </c>
      <c r="B12" s="12">
        <v>0.15200000000000002</v>
      </c>
      <c r="C12" s="12">
        <v>4.6762944683405624E-2</v>
      </c>
      <c r="D12" s="12">
        <v>3.2573808471304631</v>
      </c>
      <c r="F12" s="14">
        <f t="shared" si="0"/>
        <v>5</v>
      </c>
    </row>
    <row r="13" spans="1:13" ht="18.75" x14ac:dyDescent="0.3">
      <c r="A13" s="12">
        <v>0.3</v>
      </c>
      <c r="B13" s="12">
        <v>0.19949999999999998</v>
      </c>
      <c r="C13" s="12">
        <v>5.9552095659537653E-2</v>
      </c>
      <c r="D13" s="12">
        <v>3.3626732254381086</v>
      </c>
      <c r="F13" s="14">
        <f t="shared" si="0"/>
        <v>5</v>
      </c>
    </row>
    <row r="14" spans="1:13" ht="18.75" x14ac:dyDescent="0.3">
      <c r="A14" s="12">
        <v>0.4</v>
      </c>
      <c r="B14" s="12">
        <v>0.22799999999999998</v>
      </c>
      <c r="C14" s="12">
        <v>6.8057341121122494E-2</v>
      </c>
      <c r="D14" s="12">
        <v>3.3698603105284732</v>
      </c>
      <c r="F14" s="14">
        <f t="shared" si="0"/>
        <v>5</v>
      </c>
    </row>
    <row r="15" spans="1:13" ht="18.75" x14ac:dyDescent="0.3">
      <c r="A15" s="12">
        <v>0.5</v>
      </c>
      <c r="B15" s="12">
        <v>0.23749999999999999</v>
      </c>
      <c r="C15" s="12">
        <v>7.2278681068160169E-2</v>
      </c>
      <c r="D15" s="12">
        <v>3.3144637408467883</v>
      </c>
      <c r="F15" s="14">
        <f t="shared" si="0"/>
        <v>5</v>
      </c>
    </row>
    <row r="16" spans="1:13" ht="18.75" x14ac:dyDescent="0.3">
      <c r="A16" s="12">
        <v>0.6</v>
      </c>
      <c r="B16" s="12">
        <v>0.22799999999999998</v>
      </c>
      <c r="C16" s="12">
        <v>7.2216115500650629E-2</v>
      </c>
      <c r="D16" s="12">
        <v>3.196907304715912</v>
      </c>
      <c r="F16" s="14">
        <f t="shared" si="0"/>
        <v>5</v>
      </c>
    </row>
    <row r="17" spans="1:25" ht="18.75" x14ac:dyDescent="0.3">
      <c r="A17" s="12">
        <v>0.7</v>
      </c>
      <c r="B17" s="12">
        <v>0.19950000000000001</v>
      </c>
      <c r="C17" s="12">
        <v>6.7869644418593902E-2</v>
      </c>
      <c r="D17" s="12">
        <v>2.9933169477802184</v>
      </c>
      <c r="F17" s="14">
        <f t="shared" si="0"/>
        <v>5</v>
      </c>
    </row>
    <row r="18" spans="1:25" ht="18.75" x14ac:dyDescent="0.3">
      <c r="A18" s="12">
        <v>0.8</v>
      </c>
      <c r="B18" s="12">
        <v>0.15199999999999997</v>
      </c>
      <c r="C18" s="12">
        <v>5.9239267821989988E-2</v>
      </c>
      <c r="D18" s="12">
        <v>2.6368624065182211</v>
      </c>
      <c r="F18" s="14">
        <f t="shared" si="0"/>
        <v>5</v>
      </c>
    </row>
    <row r="19" spans="1:25" ht="18.75" x14ac:dyDescent="0.3">
      <c r="A19" s="12">
        <v>0.9</v>
      </c>
      <c r="B19" s="12">
        <v>8.5499999999999979E-2</v>
      </c>
      <c r="C19" s="12">
        <v>4.6324985710838901E-2</v>
      </c>
      <c r="D19" s="12">
        <v>1.9297475949688869</v>
      </c>
      <c r="F19" s="14">
        <f t="shared" si="0"/>
        <v>5</v>
      </c>
    </row>
    <row r="20" spans="1:25" ht="18.75" x14ac:dyDescent="0.3">
      <c r="A20" s="12">
        <v>0.95</v>
      </c>
      <c r="B20" s="12">
        <v>4.512500000000004E-2</v>
      </c>
      <c r="C20" s="12">
        <v>3.8261380087308179E-2</v>
      </c>
      <c r="D20" s="12">
        <v>1.2530482955651405</v>
      </c>
      <c r="F20" s="14">
        <f t="shared" si="0"/>
        <v>5</v>
      </c>
    </row>
    <row r="21" spans="1:25" ht="18.75" x14ac:dyDescent="0.3">
      <c r="A21" s="12">
        <v>1</v>
      </c>
      <c r="B21" s="12"/>
      <c r="C21" s="12"/>
      <c r="D21" s="12">
        <v>0</v>
      </c>
    </row>
    <row r="22" spans="1:25" x14ac:dyDescent="0.25">
      <c r="A22" s="29"/>
      <c r="B22" s="29"/>
      <c r="C22" s="29"/>
      <c r="D22" s="29"/>
      <c r="E22" s="29"/>
      <c r="F22" s="29"/>
    </row>
    <row r="23" spans="1:25" ht="28.5" x14ac:dyDescent="0.45">
      <c r="A23" s="30"/>
      <c r="B23" s="29"/>
      <c r="C23" s="29"/>
      <c r="D23" s="29"/>
      <c r="E23" s="29"/>
      <c r="F23" s="29"/>
    </row>
    <row r="24" spans="1:25" x14ac:dyDescent="0.25">
      <c r="A24" s="31"/>
      <c r="B24" s="31"/>
      <c r="C24" s="31"/>
      <c r="D24" s="31"/>
      <c r="E24" s="31"/>
      <c r="F24" s="31"/>
      <c r="G24" s="32"/>
      <c r="H24" s="32"/>
      <c r="I24" s="32"/>
      <c r="J24" s="32"/>
      <c r="K24" s="32"/>
      <c r="L24" s="32"/>
      <c r="M24" s="32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</row>
    <row r="25" spans="1:25" ht="284.25" customHeight="1" x14ac:dyDescent="0.25"/>
    <row r="27" spans="1:25" x14ac:dyDescent="0.25">
      <c r="H27" s="34"/>
    </row>
    <row r="33" spans="1:10" ht="18.75" x14ac:dyDescent="0.3">
      <c r="H33" s="13" t="s">
        <v>5</v>
      </c>
      <c r="I33" s="13" t="s">
        <v>6</v>
      </c>
      <c r="J33" s="13" t="s">
        <v>4</v>
      </c>
    </row>
    <row r="34" spans="1:10" ht="18.75" x14ac:dyDescent="0.3">
      <c r="H34" s="42">
        <f>D*Dbar*C_*pc</f>
        <v>6.9465465000000068E-6</v>
      </c>
      <c r="I34" s="43">
        <f>SUM(I35:I41)</f>
        <v>3.1300726706548682E-4</v>
      </c>
      <c r="J34" s="44">
        <f>H34/I34</f>
        <v>2.2192924033762648E-2</v>
      </c>
    </row>
    <row r="35" spans="1:10" ht="15.75" x14ac:dyDescent="0.25">
      <c r="E35" s="20"/>
      <c r="H35" s="46" t="s">
        <v>17</v>
      </c>
      <c r="I35" s="39">
        <f>pa*pa*(1-(0.5*Dbar*Dbar))*C_*pc</f>
        <v>1.2198520689111609E-4</v>
      </c>
      <c r="J35" s="38"/>
    </row>
    <row r="36" spans="1:10" ht="18.75" x14ac:dyDescent="0.3">
      <c r="G36" s="47" t="s">
        <v>44</v>
      </c>
      <c r="H36" s="46" t="s">
        <v>18</v>
      </c>
      <c r="I36" s="39">
        <f>pc*pc*(1-(0.5*Dbar*Dbar))*C_*pa</f>
        <v>1.2808216475913563E-4</v>
      </c>
      <c r="J36" s="38"/>
    </row>
    <row r="37" spans="1:10" ht="18.75" x14ac:dyDescent="0.3">
      <c r="G37" s="47" t="s">
        <v>45</v>
      </c>
      <c r="H37" s="46" t="s">
        <v>19</v>
      </c>
      <c r="I37" s="39">
        <f>2*pa*pc*Dbar*Dbar*Cbar</f>
        <v>3.4997660850000068E-8</v>
      </c>
      <c r="J37" s="38"/>
    </row>
    <row r="38" spans="1:10" ht="15.75" x14ac:dyDescent="0.25">
      <c r="H38" s="46" t="s">
        <v>20</v>
      </c>
      <c r="I38" s="39">
        <f>2*pa*PQ*Dbar*D*C_*pc</f>
        <v>1.3405237108770481E-6</v>
      </c>
      <c r="J38" s="38"/>
    </row>
    <row r="39" spans="1:10" ht="15.75" x14ac:dyDescent="0.25">
      <c r="H39" s="46" t="s">
        <v>21</v>
      </c>
      <c r="I39" s="39">
        <f>2*pc*PQ*Dbar*D*C_*pa</f>
        <v>1.3405237108770479E-6</v>
      </c>
      <c r="J39" s="38"/>
    </row>
    <row r="40" spans="1:10" ht="15.75" x14ac:dyDescent="0.25">
      <c r="H40" s="46" t="s">
        <v>22</v>
      </c>
      <c r="I40" s="39">
        <f>QQ*0.5*D*D*C_*pa*C_*pc</f>
        <v>1.0924846723038707E-6</v>
      </c>
      <c r="J40" s="38"/>
    </row>
    <row r="41" spans="1:10" ht="15.75" x14ac:dyDescent="0.25">
      <c r="H41" s="46" t="s">
        <v>23</v>
      </c>
      <c r="I41" s="39">
        <f>2*QQdash*D*D*C_*pa*C_*pc</f>
        <v>5.9131365660327159E-5</v>
      </c>
      <c r="J41" s="38"/>
    </row>
    <row r="42" spans="1:10" ht="15.75" x14ac:dyDescent="0.25">
      <c r="H42" s="38" t="s">
        <v>5</v>
      </c>
      <c r="I42" s="38" t="s">
        <v>6</v>
      </c>
      <c r="J42" s="38" t="s">
        <v>4</v>
      </c>
    </row>
    <row r="43" spans="1:10" ht="15.75" x14ac:dyDescent="0.25">
      <c r="H43" s="39">
        <f>H34</f>
        <v>6.9465465000000068E-6</v>
      </c>
      <c r="I43" s="39">
        <f>I34</f>
        <v>3.1300726706548682E-4</v>
      </c>
      <c r="J43" s="39">
        <f>J34</f>
        <v>2.2192924033762648E-2</v>
      </c>
    </row>
    <row r="44" spans="1:10" s="28" customFormat="1" ht="15.75" x14ac:dyDescent="0.25">
      <c r="A44" s="40" t="s">
        <v>7</v>
      </c>
      <c r="B44" s="40" t="s">
        <v>8</v>
      </c>
      <c r="C44" s="40" t="s">
        <v>9</v>
      </c>
      <c r="D44" s="40" t="s">
        <v>4</v>
      </c>
    </row>
    <row r="45" spans="1:10" ht="15.75" x14ac:dyDescent="0.25">
      <c r="A45" s="41">
        <v>0</v>
      </c>
      <c r="B45" s="41">
        <v>0</v>
      </c>
      <c r="C45" s="41">
        <v>1.9000000000000003E-2</v>
      </c>
      <c r="D45" s="41">
        <v>0</v>
      </c>
    </row>
    <row r="46" spans="1:10" ht="15.75" x14ac:dyDescent="0.25">
      <c r="A46" s="41">
        <v>0.05</v>
      </c>
      <c r="B46" s="41">
        <v>3.3029125000000006E-4</v>
      </c>
      <c r="C46" s="41">
        <v>3.1850241546890791E-2</v>
      </c>
      <c r="D46" s="41">
        <v>1.0370133284977958E-2</v>
      </c>
    </row>
    <row r="47" spans="1:10" ht="18.75" x14ac:dyDescent="0.3">
      <c r="A47" s="41">
        <v>0.1</v>
      </c>
      <c r="B47" s="42">
        <v>6.2581500000000005E-4</v>
      </c>
      <c r="C47" s="43">
        <v>2.8739034697578068E-2</v>
      </c>
      <c r="D47" s="44">
        <v>2.1775783584434015E-2</v>
      </c>
    </row>
    <row r="48" spans="1:10" ht="15.75" x14ac:dyDescent="0.25">
      <c r="A48" s="41">
        <v>0.2</v>
      </c>
      <c r="B48" s="41">
        <v>1.1125600000000003E-3</v>
      </c>
      <c r="C48" s="41">
        <v>2.3000359605368084E-2</v>
      </c>
      <c r="D48" s="41">
        <v>4.8371417625154803E-2</v>
      </c>
    </row>
    <row r="49" spans="1:7" ht="23.25" x14ac:dyDescent="0.35">
      <c r="A49" s="41">
        <v>0.3</v>
      </c>
      <c r="B49" s="41">
        <v>1.460235E-3</v>
      </c>
      <c r="C49" s="41">
        <v>1.7906669321712032E-2</v>
      </c>
      <c r="D49" s="41">
        <v>8.154699088732538E-2</v>
      </c>
      <c r="G49" s="35" t="s">
        <v>11</v>
      </c>
    </row>
    <row r="50" spans="1:7" ht="23.25" x14ac:dyDescent="0.35">
      <c r="A50" s="41">
        <v>0.4</v>
      </c>
      <c r="B50" s="41">
        <v>1.66884E-3</v>
      </c>
      <c r="C50" s="41">
        <v>1.3457963846609926E-2</v>
      </c>
      <c r="D50" s="41">
        <v>0.12400389977421306</v>
      </c>
      <c r="G50" s="35" t="s">
        <v>12</v>
      </c>
    </row>
    <row r="51" spans="1:7" ht="23.25" x14ac:dyDescent="0.35">
      <c r="A51" s="41">
        <v>0.5</v>
      </c>
      <c r="B51" s="41">
        <v>1.7383750000000001E-3</v>
      </c>
      <c r="C51" s="41">
        <v>9.6542431800617622E-3</v>
      </c>
      <c r="D51" s="41">
        <v>0.18006331180782201</v>
      </c>
      <c r="G51" s="35" t="s">
        <v>13</v>
      </c>
    </row>
    <row r="52" spans="1:7" ht="15.75" x14ac:dyDescent="0.25">
      <c r="A52" s="41">
        <v>0.6</v>
      </c>
      <c r="B52" s="41">
        <v>1.66884E-3</v>
      </c>
      <c r="C52" s="41">
        <v>6.4955073220675369E-3</v>
      </c>
      <c r="D52" s="41">
        <v>0.25692219518102305</v>
      </c>
    </row>
    <row r="53" spans="1:7" ht="15.75" x14ac:dyDescent="0.25">
      <c r="A53" s="41">
        <v>0.7</v>
      </c>
      <c r="B53" s="41">
        <v>1.4602350000000003E-3</v>
      </c>
      <c r="C53" s="41">
        <v>3.9817562726272527E-3</v>
      </c>
      <c r="D53" s="41">
        <v>0.36673138686022694</v>
      </c>
    </row>
    <row r="54" spans="1:7" ht="15.75" x14ac:dyDescent="0.25">
      <c r="A54" s="41">
        <v>0.8</v>
      </c>
      <c r="B54" s="41">
        <v>1.1125599999999999E-3</v>
      </c>
      <c r="C54" s="41">
        <v>2.1129900317409076E-3</v>
      </c>
      <c r="D54" s="41">
        <v>0.52653348254717214</v>
      </c>
    </row>
    <row r="55" spans="1:7" ht="15.75" x14ac:dyDescent="0.25">
      <c r="A55" s="41">
        <v>0.9</v>
      </c>
      <c r="B55" s="41">
        <v>6.2581499999999994E-4</v>
      </c>
      <c r="C55" s="41">
        <v>8.8920859940850574E-4</v>
      </c>
      <c r="D55" s="41">
        <v>0.70378874025317228</v>
      </c>
    </row>
    <row r="56" spans="1:7" ht="15.75" x14ac:dyDescent="0.25">
      <c r="A56" s="41">
        <v>0.95</v>
      </c>
      <c r="B56" s="41">
        <v>3.3029125000000027E-4</v>
      </c>
      <c r="C56" s="41">
        <v>5.1918718645003266E-4</v>
      </c>
      <c r="D56" s="41">
        <v>0.6361698798045895</v>
      </c>
    </row>
    <row r="57" spans="1:7" ht="15.75" x14ac:dyDescent="0.25">
      <c r="A57" s="41">
        <v>0.999</v>
      </c>
      <c r="B57" s="41">
        <v>6.9465465000000068E-6</v>
      </c>
      <c r="C57" s="41">
        <v>3.1300726706548682E-4</v>
      </c>
      <c r="D57" s="41">
        <v>2.2192924033762648E-2</v>
      </c>
    </row>
    <row r="60" spans="1:7" ht="28.5" x14ac:dyDescent="0.45">
      <c r="A60" s="30" t="s">
        <v>15</v>
      </c>
    </row>
    <row r="61" spans="1:7" x14ac:dyDescent="0.25">
      <c r="A61" s="36"/>
      <c r="B61" s="36"/>
      <c r="C61" s="36"/>
      <c r="D61" s="36"/>
      <c r="E61" s="36"/>
    </row>
    <row r="78" spans="1:24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</row>
  </sheetData>
  <sheetProtection selectLockedCells="1"/>
  <pageMargins left="0.7" right="0.7" top="0.75" bottom="0.75" header="0.3" footer="0.3"/>
  <pageSetup paperSize="9" orientation="portrait" horizontalDpi="4294967293" r:id="rId1"/>
  <drawing r:id="rId2"/>
  <legacyDrawing r:id="rId3"/>
  <oleObjects>
    <mc:AlternateContent xmlns:mc="http://schemas.openxmlformats.org/markup-compatibility/2006">
      <mc:Choice Requires="x14">
        <oleObject progId="Equation.3" shapeId="1026" r:id="rId4">
          <objectPr defaultSize="0" autoPict="0" r:id="rId5">
            <anchor moveWithCells="1" sizeWithCells="1">
              <from>
                <xdr:col>5</xdr:col>
                <xdr:colOff>981075</xdr:colOff>
                <xdr:row>51</xdr:row>
                <xdr:rowOff>76200</xdr:rowOff>
              </from>
              <to>
                <xdr:col>10</xdr:col>
                <xdr:colOff>581025</xdr:colOff>
                <xdr:row>68</xdr:row>
                <xdr:rowOff>85725</xdr:rowOff>
              </to>
            </anchor>
          </objectPr>
        </oleObject>
      </mc:Choice>
      <mc:Fallback>
        <oleObject progId="Equation.3" shapeId="1026" r:id="rId4"/>
      </mc:Fallback>
    </mc:AlternateContent>
    <mc:AlternateContent xmlns:mc="http://schemas.openxmlformats.org/markup-compatibility/2006">
      <mc:Choice Requires="x14">
        <oleObject progId="Equation.3" shapeId="1028" r:id="rId6">
          <objectPr defaultSize="0" autoPict="0" r:id="rId7">
            <anchor moveWithCells="1" sizeWithCells="1">
              <from>
                <xdr:col>2</xdr:col>
                <xdr:colOff>180975</xdr:colOff>
                <xdr:row>70</xdr:row>
                <xdr:rowOff>57150</xdr:rowOff>
              </from>
              <to>
                <xdr:col>11</xdr:col>
                <xdr:colOff>533400</xdr:colOff>
                <xdr:row>76</xdr:row>
                <xdr:rowOff>19050</xdr:rowOff>
              </to>
            </anchor>
          </objectPr>
        </oleObject>
      </mc:Choice>
      <mc:Fallback>
        <oleObject progId="Equation.3" shapeId="1028" r:id="rId6"/>
      </mc:Fallback>
    </mc:AlternateContent>
    <mc:AlternateContent xmlns:mc="http://schemas.openxmlformats.org/markup-compatibility/2006">
      <mc:Choice Requires="x14">
        <oleObject progId="Equation.3" shapeId="1046" r:id="rId8">
          <objectPr defaultSize="0" autoPict="0" r:id="rId9">
            <anchor moveWithCells="1" sizeWithCells="1">
              <from>
                <xdr:col>5</xdr:col>
                <xdr:colOff>1371600</xdr:colOff>
                <xdr:row>6</xdr:row>
                <xdr:rowOff>209550</xdr:rowOff>
              </from>
              <to>
                <xdr:col>13</xdr:col>
                <xdr:colOff>466725</xdr:colOff>
                <xdr:row>8</xdr:row>
                <xdr:rowOff>209550</xdr:rowOff>
              </to>
            </anchor>
          </objectPr>
        </oleObject>
      </mc:Choice>
      <mc:Fallback>
        <oleObject progId="Equation.3" shapeId="1046" r:id="rId8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" name="Button 1">
              <controlPr defaultSize="0" print="0" autoFill="0" autoPict="0" macro="[0]!Macro1">
                <anchor moveWithCells="1" sizeWithCells="1">
                  <from>
                    <xdr:col>0</xdr:col>
                    <xdr:colOff>66675</xdr:colOff>
                    <xdr:row>0</xdr:row>
                    <xdr:rowOff>4362450</xdr:rowOff>
                  </from>
                  <to>
                    <xdr:col>3</xdr:col>
                    <xdr:colOff>19050</xdr:colOff>
                    <xdr:row>0</xdr:row>
                    <xdr:rowOff>4867275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1" name="Button 3">
              <controlPr defaultSize="0" print="0" autoFill="0" autoPict="0" macro="[0]!Macro3">
                <anchor moveWithCells="1" sizeWithCells="1">
                  <from>
                    <xdr:col>1</xdr:col>
                    <xdr:colOff>771525</xdr:colOff>
                    <xdr:row>36</xdr:row>
                    <xdr:rowOff>0</xdr:rowOff>
                  </from>
                  <to>
                    <xdr:col>3</xdr:col>
                    <xdr:colOff>361950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40"/>
  <sheetViews>
    <sheetView tabSelected="1" zoomScale="89" zoomScaleNormal="89" workbookViewId="0">
      <selection activeCell="J6" sqref="J6"/>
    </sheetView>
  </sheetViews>
  <sheetFormatPr defaultRowHeight="15" x14ac:dyDescent="0.25"/>
  <cols>
    <col min="1" max="1" width="16.42578125" customWidth="1"/>
    <col min="2" max="2" width="12" bestFit="1" customWidth="1"/>
    <col min="6" max="6" width="13.140625" customWidth="1"/>
    <col min="7" max="7" width="18.5703125" style="1" customWidth="1"/>
    <col min="8" max="8" width="16.7109375" customWidth="1"/>
    <col min="10" max="10" width="20.42578125" customWidth="1"/>
    <col min="13" max="13" width="10.7109375" bestFit="1" customWidth="1"/>
    <col min="14" max="14" width="12.5703125" customWidth="1"/>
    <col min="15" max="15" width="11.85546875" customWidth="1"/>
    <col min="18" max="18" width="13.85546875" bestFit="1" customWidth="1"/>
  </cols>
  <sheetData>
    <row r="1" spans="1:19" s="1" customFormat="1" ht="409.5" customHeight="1" x14ac:dyDescent="0.3">
      <c r="A1" s="5" t="s">
        <v>24</v>
      </c>
      <c r="B1" s="79">
        <v>10</v>
      </c>
      <c r="C1" s="79">
        <v>11</v>
      </c>
      <c r="D1" s="79">
        <v>12</v>
      </c>
      <c r="E1" s="79">
        <v>13</v>
      </c>
      <c r="F1" s="79">
        <v>14</v>
      </c>
      <c r="G1" s="79">
        <v>14.2</v>
      </c>
      <c r="H1" s="79">
        <v>15</v>
      </c>
      <c r="I1" s="79">
        <v>16</v>
      </c>
      <c r="J1" s="79">
        <v>17</v>
      </c>
      <c r="K1" s="79">
        <v>18</v>
      </c>
      <c r="L1" s="79">
        <v>19</v>
      </c>
      <c r="M1" s="79">
        <v>20</v>
      </c>
      <c r="N1" s="79">
        <v>21</v>
      </c>
      <c r="O1" s="79">
        <v>22</v>
      </c>
    </row>
    <row r="2" spans="1:19" s="1" customFormat="1" ht="16.5" thickBot="1" x14ac:dyDescent="0.3">
      <c r="A2"/>
      <c r="B2" s="4">
        <v>8.2799999999999992E-3</v>
      </c>
      <c r="C2" s="1">
        <v>1.6559999999999998E-2</v>
      </c>
      <c r="D2" s="1">
        <v>0.12748000000000001</v>
      </c>
      <c r="E2" s="1">
        <v>0.13245000000000001</v>
      </c>
      <c r="F2" s="1">
        <v>0.13741999999999999</v>
      </c>
      <c r="G2" s="1">
        <v>1.66E-3</v>
      </c>
      <c r="H2" s="1">
        <v>0.15894</v>
      </c>
      <c r="I2" s="1">
        <v>0.13907</v>
      </c>
      <c r="J2" s="1">
        <v>0.12583</v>
      </c>
      <c r="K2" s="1">
        <v>7.6160000000000005E-2</v>
      </c>
      <c r="L2" s="1">
        <v>3.8080000000000003E-2</v>
      </c>
      <c r="M2" s="1">
        <v>2.1520000000000001E-2</v>
      </c>
      <c r="N2" s="1">
        <v>8.2799999999999992E-3</v>
      </c>
      <c r="O2" s="1">
        <v>8.2799999999999992E-3</v>
      </c>
      <c r="P2" s="1" t="s">
        <v>26</v>
      </c>
      <c r="Q2" s="67" t="s">
        <v>22</v>
      </c>
    </row>
    <row r="3" spans="1:19" ht="19.5" thickBot="1" x14ac:dyDescent="0.35">
      <c r="A3" t="s">
        <v>25</v>
      </c>
      <c r="B3">
        <f>B2*B2</f>
        <v>6.8558399999999991E-5</v>
      </c>
      <c r="C3">
        <f t="shared" ref="C3:O3" si="0">C2*C2</f>
        <v>2.7423359999999996E-4</v>
      </c>
      <c r="D3">
        <f t="shared" si="0"/>
        <v>1.6251150400000004E-2</v>
      </c>
      <c r="E3">
        <f t="shared" si="0"/>
        <v>1.7543002500000002E-2</v>
      </c>
      <c r="F3">
        <f t="shared" si="0"/>
        <v>1.8884256399999997E-2</v>
      </c>
      <c r="G3" s="1">
        <f t="shared" si="0"/>
        <v>2.7555999999999999E-6</v>
      </c>
      <c r="H3">
        <f t="shared" si="0"/>
        <v>2.52619236E-2</v>
      </c>
      <c r="I3">
        <f t="shared" si="0"/>
        <v>1.93404649E-2</v>
      </c>
      <c r="J3">
        <f t="shared" si="0"/>
        <v>1.58331889E-2</v>
      </c>
      <c r="K3">
        <f t="shared" si="0"/>
        <v>5.8003456000000012E-3</v>
      </c>
      <c r="L3">
        <f t="shared" si="0"/>
        <v>1.4500864000000003E-3</v>
      </c>
      <c r="M3">
        <f t="shared" si="0"/>
        <v>4.6311040000000006E-4</v>
      </c>
      <c r="N3">
        <f t="shared" si="0"/>
        <v>6.8558399999999991E-5</v>
      </c>
      <c r="O3">
        <f t="shared" si="0"/>
        <v>6.8558399999999991E-5</v>
      </c>
      <c r="P3">
        <f>SUM(B3:O3)</f>
        <v>0.12131019350000001</v>
      </c>
      <c r="Q3" s="64">
        <f>P3-pa^2-pc^2</f>
        <v>8.4426726100000016E-2</v>
      </c>
      <c r="R3" t="s">
        <v>56</v>
      </c>
    </row>
    <row r="4" spans="1:19" ht="15.75" thickBot="1" x14ac:dyDescent="0.3">
      <c r="Q4" s="48" t="s">
        <v>54</v>
      </c>
      <c r="R4" s="48"/>
      <c r="S4" s="48"/>
    </row>
    <row r="5" spans="1:19" ht="19.5" thickBot="1" x14ac:dyDescent="0.35">
      <c r="A5">
        <f>SUM(B2:O2)</f>
        <v>1.0000100000000001</v>
      </c>
      <c r="F5" s="72" t="s">
        <v>71</v>
      </c>
      <c r="G5" s="77" t="s">
        <v>72</v>
      </c>
      <c r="K5" s="59" t="s">
        <v>53</v>
      </c>
      <c r="O5" s="65">
        <f>SUM(B2:O2)-pa-pc</f>
        <v>0.72849000000000008</v>
      </c>
    </row>
    <row r="6" spans="1:19" ht="15.75" x14ac:dyDescent="0.25">
      <c r="C6" s="49" t="s">
        <v>48</v>
      </c>
      <c r="E6" s="68"/>
      <c r="F6" s="73" t="s">
        <v>47</v>
      </c>
      <c r="G6" s="76" t="s">
        <v>30</v>
      </c>
    </row>
    <row r="7" spans="1:19" ht="18.75" x14ac:dyDescent="0.3">
      <c r="C7" s="49" t="s">
        <v>49</v>
      </c>
      <c r="E7" s="69" t="s">
        <v>27</v>
      </c>
      <c r="F7" s="74">
        <f>LOOKUP(G7,B$1:O$1,B$2:O$2)</f>
        <v>0.13245000000000001</v>
      </c>
      <c r="G7" s="70">
        <v>13</v>
      </c>
      <c r="H7" s="80" t="s">
        <v>60</v>
      </c>
      <c r="I7" s="81"/>
      <c r="J7" s="82"/>
      <c r="K7" s="63"/>
      <c r="L7" s="50"/>
      <c r="M7" s="50"/>
      <c r="N7" s="50"/>
    </row>
    <row r="8" spans="1:19" ht="15.75" x14ac:dyDescent="0.25">
      <c r="C8" s="49" t="s">
        <v>50</v>
      </c>
      <c r="E8" s="69" t="s">
        <v>29</v>
      </c>
      <c r="F8" s="74">
        <f t="shared" ref="F8:F9" si="1">LOOKUP(G8,B$1:O$1,B$2:O$2)</f>
        <v>0.13741999999999999</v>
      </c>
      <c r="G8" s="70">
        <v>14</v>
      </c>
      <c r="H8" s="83" t="s">
        <v>61</v>
      </c>
      <c r="I8" s="84"/>
      <c r="J8" s="84"/>
      <c r="K8" s="58"/>
    </row>
    <row r="9" spans="1:19" ht="16.5" thickBot="1" x14ac:dyDescent="0.3">
      <c r="E9" s="69" t="s">
        <v>28</v>
      </c>
      <c r="F9" s="75">
        <f t="shared" si="1"/>
        <v>0.13907</v>
      </c>
      <c r="G9" s="71">
        <v>16</v>
      </c>
      <c r="H9" s="83" t="s">
        <v>62</v>
      </c>
      <c r="I9" s="84"/>
      <c r="J9" s="84"/>
      <c r="K9" s="58"/>
    </row>
    <row r="10" spans="1:19" ht="18.75" x14ac:dyDescent="0.3">
      <c r="F10" s="50" t="s">
        <v>46</v>
      </c>
    </row>
    <row r="11" spans="1:19" ht="21" x14ac:dyDescent="0.35">
      <c r="C11" s="49" t="s">
        <v>48</v>
      </c>
      <c r="E11" s="60" t="s">
        <v>31</v>
      </c>
      <c r="F11" s="60">
        <f>P35-pa-pc+pa^2+pc^2</f>
        <v>0.64332660359999971</v>
      </c>
      <c r="G11" s="57" t="s">
        <v>63</v>
      </c>
      <c r="H11" s="9"/>
      <c r="I11" s="9"/>
      <c r="J11" s="9"/>
      <c r="K11" s="9"/>
      <c r="L11" s="9"/>
    </row>
    <row r="12" spans="1:19" ht="21" x14ac:dyDescent="0.35">
      <c r="C12" s="49" t="s">
        <v>51</v>
      </c>
      <c r="E12" s="60" t="s">
        <v>32</v>
      </c>
      <c r="F12" s="60">
        <f>Q3-pa^2-pc^2</f>
        <v>4.7543258700000014E-2</v>
      </c>
      <c r="G12" s="57" t="s">
        <v>66</v>
      </c>
      <c r="H12" s="3"/>
    </row>
    <row r="13" spans="1:19" ht="21" x14ac:dyDescent="0.35">
      <c r="C13" s="49" t="s">
        <v>52</v>
      </c>
      <c r="E13" s="60" t="s">
        <v>64</v>
      </c>
      <c r="F13" s="60">
        <f>PQ</f>
        <v>0.72849000000000008</v>
      </c>
      <c r="G13" s="61" t="s">
        <v>65</v>
      </c>
    </row>
    <row r="17" spans="1:18" x14ac:dyDescent="0.25">
      <c r="M17" s="3" t="s">
        <v>55</v>
      </c>
    </row>
    <row r="19" spans="1:18" ht="18.75" x14ac:dyDescent="0.3">
      <c r="B19" s="78" t="s">
        <v>67</v>
      </c>
    </row>
    <row r="20" spans="1:18" x14ac:dyDescent="0.25">
      <c r="A20" s="6"/>
      <c r="B20" s="6">
        <v>10</v>
      </c>
      <c r="C20" s="6">
        <v>11</v>
      </c>
      <c r="D20" s="6">
        <v>12</v>
      </c>
      <c r="E20" s="6">
        <v>13</v>
      </c>
      <c r="F20" s="6">
        <v>14</v>
      </c>
      <c r="G20" s="54">
        <v>14.2</v>
      </c>
      <c r="H20" s="6">
        <v>15</v>
      </c>
      <c r="I20" s="6">
        <v>16</v>
      </c>
      <c r="J20" s="6">
        <v>17</v>
      </c>
      <c r="K20" s="6">
        <v>18</v>
      </c>
      <c r="L20" s="6">
        <v>19</v>
      </c>
      <c r="M20" s="6">
        <v>20</v>
      </c>
      <c r="N20" s="6">
        <v>21</v>
      </c>
      <c r="O20" s="6">
        <v>22</v>
      </c>
      <c r="P20" s="2" t="s">
        <v>58</v>
      </c>
      <c r="R20" t="s">
        <v>59</v>
      </c>
    </row>
    <row r="21" spans="1:18" x14ac:dyDescent="0.25">
      <c r="A21" s="6">
        <v>10</v>
      </c>
      <c r="B21" s="7" t="s">
        <v>33</v>
      </c>
      <c r="C21" s="8">
        <v>1.3711680000000001E-4</v>
      </c>
      <c r="D21" s="8">
        <v>1.0555344E-3</v>
      </c>
      <c r="E21" s="8">
        <v>1.0966859999999999E-3</v>
      </c>
      <c r="F21" s="8">
        <v>1.1378376E-3</v>
      </c>
      <c r="G21" s="55" t="s">
        <v>34</v>
      </c>
      <c r="H21" s="8">
        <v>1.3160232E-3</v>
      </c>
      <c r="I21" s="8">
        <v>1.1514996E-3</v>
      </c>
      <c r="J21" s="8">
        <v>1.0418724E-3</v>
      </c>
      <c r="K21" s="8">
        <v>6.3060480000000005E-4</v>
      </c>
      <c r="L21" s="8">
        <v>3.1530240000000003E-4</v>
      </c>
      <c r="M21" s="8">
        <v>1.7818560000000002E-4</v>
      </c>
      <c r="N21" s="8" t="s">
        <v>33</v>
      </c>
      <c r="O21" s="8" t="s">
        <v>33</v>
      </c>
      <c r="P21" s="2">
        <f>SUM(C21:O21)</f>
        <v>8.0606628E-3</v>
      </c>
      <c r="R21">
        <f>SUM(B21:O21)</f>
        <v>8.0606628E-3</v>
      </c>
    </row>
    <row r="22" spans="1:18" x14ac:dyDescent="0.25">
      <c r="A22" s="6">
        <v>11</v>
      </c>
      <c r="B22">
        <v>1.3711680000000001E-4</v>
      </c>
      <c r="C22" s="7">
        <v>2.7423360000000002E-4</v>
      </c>
      <c r="D22" s="8">
        <v>2.1110688000000001E-3</v>
      </c>
      <c r="E22" s="8">
        <v>2.1933719999999999E-3</v>
      </c>
      <c r="F22" s="8">
        <v>2.2756752000000001E-3</v>
      </c>
      <c r="G22" s="55" t="s">
        <v>35</v>
      </c>
      <c r="H22" s="8">
        <v>2.6320464E-3</v>
      </c>
      <c r="I22" s="8">
        <v>2.3029992000000001E-3</v>
      </c>
      <c r="J22" s="8">
        <v>2.0837448000000001E-3</v>
      </c>
      <c r="K22" s="8">
        <v>1.2612096000000001E-3</v>
      </c>
      <c r="L22" s="8">
        <v>6.3060480000000005E-4</v>
      </c>
      <c r="M22" s="8">
        <v>3.5637120000000003E-4</v>
      </c>
      <c r="N22" s="8">
        <v>1.3711680000000001E-4</v>
      </c>
      <c r="O22" s="8">
        <v>1.3711680000000001E-4</v>
      </c>
      <c r="P22" s="2">
        <f>SUM(D22:O22)</f>
        <v>1.61213256E-2</v>
      </c>
      <c r="R22">
        <f t="shared" ref="R22:R34" si="2">SUM(B22:O22)</f>
        <v>1.6532676E-2</v>
      </c>
    </row>
    <row r="23" spans="1:18" x14ac:dyDescent="0.25">
      <c r="A23" s="6">
        <v>12</v>
      </c>
      <c r="B23">
        <v>1.0555344E-3</v>
      </c>
      <c r="C23">
        <v>2.1110688000000001E-3</v>
      </c>
      <c r="D23" s="7">
        <v>1.6251150400000001E-2</v>
      </c>
      <c r="E23" s="8">
        <v>1.6884726000000003E-2</v>
      </c>
      <c r="F23" s="8">
        <v>1.7518301600000001E-2</v>
      </c>
      <c r="G23" s="55">
        <v>2.116168E-4</v>
      </c>
      <c r="H23" s="8">
        <v>2.0261671200000001E-2</v>
      </c>
      <c r="I23" s="8">
        <v>1.77286436E-2</v>
      </c>
      <c r="J23" s="8">
        <v>1.6040808400000002E-2</v>
      </c>
      <c r="K23" s="8">
        <v>9.7088768000000002E-3</v>
      </c>
      <c r="L23" s="8">
        <v>4.8544384000000001E-3</v>
      </c>
      <c r="M23" s="8">
        <v>2.7433696E-3</v>
      </c>
      <c r="N23" s="8">
        <v>1.0555344E-3</v>
      </c>
      <c r="O23" s="8">
        <v>1.0555344E-3</v>
      </c>
      <c r="P23" s="2">
        <f>SUM(E23:O23)</f>
        <v>0.10806352120000001</v>
      </c>
      <c r="R23">
        <f t="shared" si="2"/>
        <v>0.12748127480000002</v>
      </c>
    </row>
    <row r="24" spans="1:18" x14ac:dyDescent="0.25">
      <c r="A24" s="6">
        <v>13</v>
      </c>
      <c r="B24">
        <v>1.0966859999999999E-3</v>
      </c>
      <c r="C24">
        <v>2.1933719999999999E-3</v>
      </c>
      <c r="D24">
        <v>1.6884726000000003E-2</v>
      </c>
      <c r="E24" s="7">
        <v>1.7543002500000002E-2</v>
      </c>
      <c r="F24" s="8">
        <v>1.8201279000000001E-2</v>
      </c>
      <c r="G24" s="55">
        <v>2.1986700000000003E-4</v>
      </c>
      <c r="H24" s="8">
        <v>2.1051603000000002E-2</v>
      </c>
      <c r="I24" s="8">
        <v>1.8419821500000003E-2</v>
      </c>
      <c r="J24" s="8">
        <v>1.6666183500000001E-2</v>
      </c>
      <c r="K24" s="8">
        <v>1.0087392000000002E-2</v>
      </c>
      <c r="L24" s="8">
        <v>5.0436960000000012E-3</v>
      </c>
      <c r="M24" s="8">
        <v>2.8503240000000004E-3</v>
      </c>
      <c r="N24" s="8">
        <v>1.0966859999999999E-3</v>
      </c>
      <c r="O24" s="8">
        <v>1.0966859999999999E-3</v>
      </c>
      <c r="P24" s="2">
        <f>SUM(F24:O24)</f>
        <v>9.4733538000000006E-2</v>
      </c>
      <c r="R24">
        <f t="shared" si="2"/>
        <v>0.13245132450000002</v>
      </c>
    </row>
    <row r="25" spans="1:18" x14ac:dyDescent="0.25">
      <c r="A25" s="6">
        <v>14</v>
      </c>
      <c r="B25">
        <v>1.1378376E-3</v>
      </c>
      <c r="C25">
        <v>2.2756752000000001E-3</v>
      </c>
      <c r="D25">
        <v>1.7518301600000001E-2</v>
      </c>
      <c r="E25">
        <v>1.8201279000000001E-2</v>
      </c>
      <c r="F25" s="7">
        <v>1.88842564E-2</v>
      </c>
      <c r="G25" s="55">
        <v>2.281172E-4</v>
      </c>
      <c r="H25" s="8">
        <v>2.18415348E-2</v>
      </c>
      <c r="I25" s="8">
        <v>1.9110999400000002E-2</v>
      </c>
      <c r="J25" s="8">
        <v>1.72915586E-2</v>
      </c>
      <c r="K25" s="8">
        <v>1.0465907200000001E-2</v>
      </c>
      <c r="L25" s="8">
        <v>5.2329536000000005E-3</v>
      </c>
      <c r="M25" s="8">
        <v>2.9572784E-3</v>
      </c>
      <c r="N25" s="8">
        <v>1.1378376E-3</v>
      </c>
      <c r="O25" s="8">
        <v>1.1378376E-3</v>
      </c>
      <c r="P25" s="2">
        <f>SUM(G25:O25)</f>
        <v>7.9404024400000009E-2</v>
      </c>
      <c r="R25">
        <f t="shared" si="2"/>
        <v>0.13742137420000003</v>
      </c>
    </row>
    <row r="26" spans="1:18" x14ac:dyDescent="0.25">
      <c r="A26" s="6">
        <v>14.2</v>
      </c>
      <c r="B26" t="s">
        <v>34</v>
      </c>
      <c r="C26" t="s">
        <v>35</v>
      </c>
      <c r="D26">
        <v>2.116168E-4</v>
      </c>
      <c r="E26">
        <v>2.1986700000000003E-4</v>
      </c>
      <c r="F26">
        <v>2.281172E-4</v>
      </c>
      <c r="G26" s="56" t="s">
        <v>36</v>
      </c>
      <c r="H26" s="8">
        <v>2.6384040000000002E-4</v>
      </c>
      <c r="I26" s="8">
        <v>2.308562E-4</v>
      </c>
      <c r="J26" s="8">
        <v>2.088778E-4</v>
      </c>
      <c r="K26" s="8">
        <v>1.2642560000000001E-4</v>
      </c>
      <c r="L26" s="8" t="s">
        <v>37</v>
      </c>
      <c r="M26" s="8" t="s">
        <v>38</v>
      </c>
      <c r="N26" s="8" t="s">
        <v>34</v>
      </c>
      <c r="O26" s="8" t="s">
        <v>34</v>
      </c>
      <c r="P26" s="2">
        <f>SUM(H26:O26)</f>
        <v>8.299999999999999E-4</v>
      </c>
      <c r="R26">
        <f t="shared" si="2"/>
        <v>1.4896010000000001E-3</v>
      </c>
    </row>
    <row r="27" spans="1:18" x14ac:dyDescent="0.25">
      <c r="A27" s="6">
        <v>15</v>
      </c>
      <c r="B27">
        <v>1.3160232E-3</v>
      </c>
      <c r="C27">
        <v>2.6320464E-3</v>
      </c>
      <c r="D27">
        <v>2.0261671200000001E-2</v>
      </c>
      <c r="E27">
        <v>2.1051603000000002E-2</v>
      </c>
      <c r="F27">
        <v>2.18415348E-2</v>
      </c>
      <c r="G27" s="1">
        <v>2.6384040000000002E-4</v>
      </c>
      <c r="H27" s="7">
        <v>2.52619236E-2</v>
      </c>
      <c r="I27" s="8">
        <v>2.2103785800000001E-2</v>
      </c>
      <c r="J27" s="8">
        <v>1.99994202E-2</v>
      </c>
      <c r="K27" s="8">
        <v>1.21048704E-2</v>
      </c>
      <c r="L27" s="8">
        <v>6.0524352000000002E-3</v>
      </c>
      <c r="M27" s="8">
        <v>3.4203888000000002E-3</v>
      </c>
      <c r="N27" s="8">
        <v>1.3160232E-3</v>
      </c>
      <c r="O27" s="8">
        <v>1.3160232E-3</v>
      </c>
      <c r="P27" s="2">
        <f>SUM(I27:O27)</f>
        <v>6.6312946800000008E-2</v>
      </c>
      <c r="R27">
        <f t="shared" si="2"/>
        <v>0.1589415894</v>
      </c>
    </row>
    <row r="28" spans="1:18" x14ac:dyDescent="0.25">
      <c r="A28" s="6">
        <v>16</v>
      </c>
      <c r="B28">
        <v>1.1514996E-3</v>
      </c>
      <c r="C28">
        <v>2.3029992000000001E-3</v>
      </c>
      <c r="D28">
        <v>1.77286436E-2</v>
      </c>
      <c r="E28">
        <v>1.8419821500000003E-2</v>
      </c>
      <c r="F28">
        <v>1.9110999400000002E-2</v>
      </c>
      <c r="G28" s="1">
        <v>2.308562E-4</v>
      </c>
      <c r="H28">
        <v>2.2103785800000001E-2</v>
      </c>
      <c r="I28" s="7">
        <v>1.93404649E-2</v>
      </c>
      <c r="J28" s="8">
        <v>1.7499178100000002E-2</v>
      </c>
      <c r="K28" s="8">
        <v>1.05915712E-2</v>
      </c>
      <c r="L28" s="8">
        <v>5.2957856000000001E-3</v>
      </c>
      <c r="M28" s="8">
        <v>2.9927864E-3</v>
      </c>
      <c r="N28" s="8">
        <v>1.1514996E-3</v>
      </c>
      <c r="O28" s="8">
        <v>1.1514996E-3</v>
      </c>
      <c r="P28" s="2">
        <f>SUM(J28:O28)</f>
        <v>3.8682320500000006E-2</v>
      </c>
      <c r="R28">
        <f t="shared" si="2"/>
        <v>0.13907139069999999</v>
      </c>
    </row>
    <row r="29" spans="1:18" x14ac:dyDescent="0.25">
      <c r="A29" s="6">
        <v>17</v>
      </c>
      <c r="B29">
        <v>1.0418724E-3</v>
      </c>
      <c r="C29">
        <v>2.0837448000000001E-3</v>
      </c>
      <c r="D29">
        <v>1.6040808400000002E-2</v>
      </c>
      <c r="E29">
        <v>1.6666183500000001E-2</v>
      </c>
      <c r="F29">
        <v>1.72915586E-2</v>
      </c>
      <c r="G29" s="1">
        <v>2.088778E-4</v>
      </c>
      <c r="H29">
        <v>1.99994202E-2</v>
      </c>
      <c r="I29">
        <v>1.7499178100000002E-2</v>
      </c>
      <c r="J29" s="7">
        <v>1.58331889E-2</v>
      </c>
      <c r="K29" s="8">
        <v>9.5832128000000009E-3</v>
      </c>
      <c r="L29" s="8">
        <v>4.7916064000000005E-3</v>
      </c>
      <c r="M29" s="8">
        <v>2.7078616E-3</v>
      </c>
      <c r="N29" s="8">
        <v>1.0418724E-3</v>
      </c>
      <c r="O29" s="8">
        <v>1.0418724E-3</v>
      </c>
      <c r="P29" s="2">
        <f>SUM(K29:O29)</f>
        <v>1.9166425600000002E-2</v>
      </c>
      <c r="R29">
        <f t="shared" si="2"/>
        <v>0.1258312583</v>
      </c>
    </row>
    <row r="30" spans="1:18" x14ac:dyDescent="0.25">
      <c r="A30" s="6">
        <v>18</v>
      </c>
      <c r="B30">
        <v>6.3060480000000005E-4</v>
      </c>
      <c r="C30">
        <v>1.2612096000000001E-3</v>
      </c>
      <c r="D30">
        <v>9.7088768000000002E-3</v>
      </c>
      <c r="E30">
        <v>1.0087392000000002E-2</v>
      </c>
      <c r="F30">
        <v>1.0465907200000001E-2</v>
      </c>
      <c r="G30" s="1">
        <v>1.2642560000000001E-4</v>
      </c>
      <c r="H30">
        <v>1.21048704E-2</v>
      </c>
      <c r="I30">
        <v>1.05915712E-2</v>
      </c>
      <c r="J30">
        <v>9.5832128000000009E-3</v>
      </c>
      <c r="K30" s="7">
        <v>5.8003456000000004E-3</v>
      </c>
      <c r="L30" s="8">
        <v>2.9001728000000002E-3</v>
      </c>
      <c r="M30" s="8">
        <v>1.6389632000000001E-3</v>
      </c>
      <c r="N30" s="8">
        <v>6.3060480000000005E-4</v>
      </c>
      <c r="O30" s="8">
        <v>6.3060480000000005E-4</v>
      </c>
      <c r="P30" s="2">
        <f>SUM(L30:O30)</f>
        <v>5.8003456000000004E-3</v>
      </c>
      <c r="R30">
        <f t="shared" si="2"/>
        <v>7.6160761600000029E-2</v>
      </c>
    </row>
    <row r="31" spans="1:18" x14ac:dyDescent="0.25">
      <c r="A31" s="6">
        <v>19</v>
      </c>
      <c r="B31">
        <v>3.1530240000000003E-4</v>
      </c>
      <c r="C31">
        <v>6.3060480000000005E-4</v>
      </c>
      <c r="D31">
        <v>4.8544384000000001E-3</v>
      </c>
      <c r="E31">
        <v>5.0436960000000012E-3</v>
      </c>
      <c r="F31">
        <v>5.2329536000000005E-3</v>
      </c>
      <c r="G31" s="1" t="s">
        <v>37</v>
      </c>
      <c r="H31">
        <v>6.0524352000000002E-3</v>
      </c>
      <c r="I31">
        <v>5.2957856000000001E-3</v>
      </c>
      <c r="J31">
        <v>4.7916064000000005E-3</v>
      </c>
      <c r="K31">
        <v>2.9001728000000002E-3</v>
      </c>
      <c r="L31" s="7">
        <v>1.4500864000000001E-3</v>
      </c>
      <c r="M31" s="8">
        <v>8.1948160000000004E-4</v>
      </c>
      <c r="N31" s="8">
        <v>3.1530240000000003E-4</v>
      </c>
      <c r="O31" s="8">
        <v>3.1530240000000003E-4</v>
      </c>
      <c r="P31" s="2">
        <f>SUM(M31:O31)</f>
        <v>1.4500864000000001E-3</v>
      </c>
      <c r="R31">
        <f t="shared" si="2"/>
        <v>3.8017168000000011E-2</v>
      </c>
    </row>
    <row r="32" spans="1:18" x14ac:dyDescent="0.25">
      <c r="A32" s="6">
        <v>20</v>
      </c>
      <c r="B32">
        <v>1.7818560000000002E-4</v>
      </c>
      <c r="C32">
        <v>3.5637120000000003E-4</v>
      </c>
      <c r="D32">
        <v>2.7433696E-3</v>
      </c>
      <c r="E32">
        <v>2.8503240000000004E-3</v>
      </c>
      <c r="F32">
        <v>2.9572784E-3</v>
      </c>
      <c r="G32" s="1" t="s">
        <v>38</v>
      </c>
      <c r="H32">
        <v>3.4203888000000002E-3</v>
      </c>
      <c r="I32">
        <v>2.9927864E-3</v>
      </c>
      <c r="J32">
        <v>2.7078616E-3</v>
      </c>
      <c r="K32">
        <v>1.6389632000000001E-3</v>
      </c>
      <c r="L32">
        <v>8.1948160000000004E-4</v>
      </c>
      <c r="M32" s="7">
        <v>4.631104E-4</v>
      </c>
      <c r="N32" s="8">
        <v>1.7818560000000002E-4</v>
      </c>
      <c r="O32" s="8">
        <v>1.7818560000000002E-4</v>
      </c>
      <c r="P32" s="2">
        <f>SUM(N32:O32)</f>
        <v>3.5637120000000003E-4</v>
      </c>
      <c r="R32">
        <f t="shared" si="2"/>
        <v>2.1484491999999997E-2</v>
      </c>
    </row>
    <row r="33" spans="1:18" x14ac:dyDescent="0.25">
      <c r="A33" s="6">
        <v>21</v>
      </c>
      <c r="B33" t="s">
        <v>33</v>
      </c>
      <c r="C33">
        <v>1.3711680000000001E-4</v>
      </c>
      <c r="D33">
        <v>1.0555344E-3</v>
      </c>
      <c r="E33">
        <v>1.0966859999999999E-3</v>
      </c>
      <c r="F33">
        <v>1.1378376E-3</v>
      </c>
      <c r="G33" s="1" t="s">
        <v>34</v>
      </c>
      <c r="H33">
        <v>1.3160232E-3</v>
      </c>
      <c r="I33">
        <v>1.1514996E-3</v>
      </c>
      <c r="J33">
        <v>1.0418724E-3</v>
      </c>
      <c r="K33">
        <v>6.3060480000000005E-4</v>
      </c>
      <c r="L33">
        <v>3.1530240000000003E-4</v>
      </c>
      <c r="M33">
        <v>1.7818560000000002E-4</v>
      </c>
      <c r="N33" s="7" t="s">
        <v>33</v>
      </c>
      <c r="O33" s="8" t="s">
        <v>33</v>
      </c>
      <c r="P33" s="2">
        <f>SUM(O33)</f>
        <v>0</v>
      </c>
      <c r="R33">
        <f t="shared" si="2"/>
        <v>8.0606628E-3</v>
      </c>
    </row>
    <row r="34" spans="1:18" ht="15.75" thickBot="1" x14ac:dyDescent="0.3">
      <c r="A34" s="6">
        <v>22</v>
      </c>
      <c r="B34" t="s">
        <v>33</v>
      </c>
      <c r="C34">
        <v>1.3711680000000001E-4</v>
      </c>
      <c r="D34">
        <v>1.0555344E-3</v>
      </c>
      <c r="E34">
        <v>1.0966859999999999E-3</v>
      </c>
      <c r="F34">
        <v>1.1378376E-3</v>
      </c>
      <c r="G34" s="1" t="s">
        <v>34</v>
      </c>
      <c r="H34">
        <v>1.3160232E-3</v>
      </c>
      <c r="I34">
        <v>1.1514996E-3</v>
      </c>
      <c r="J34">
        <v>1.0418724E-3</v>
      </c>
      <c r="K34">
        <v>6.3060480000000005E-4</v>
      </c>
      <c r="L34">
        <v>3.1530240000000003E-4</v>
      </c>
      <c r="M34">
        <v>1.7818560000000002E-4</v>
      </c>
      <c r="N34" t="s">
        <v>33</v>
      </c>
      <c r="O34" s="7" t="s">
        <v>33</v>
      </c>
      <c r="P34" s="2"/>
      <c r="R34">
        <f t="shared" si="2"/>
        <v>8.0606628E-3</v>
      </c>
    </row>
    <row r="35" spans="1:18" ht="19.5" thickBot="1" x14ac:dyDescent="0.35">
      <c r="O35" s="2" t="s">
        <v>31</v>
      </c>
      <c r="P35" s="66">
        <f>SUM(P21:P33)*2</f>
        <v>0.87796313619999988</v>
      </c>
      <c r="R35" s="53">
        <f>SUM(R21:R34)</f>
        <v>0.99906489889999994</v>
      </c>
    </row>
    <row r="36" spans="1:18" ht="18.75" x14ac:dyDescent="0.3">
      <c r="P36" s="62" t="s">
        <v>68</v>
      </c>
    </row>
    <row r="38" spans="1:18" x14ac:dyDescent="0.25">
      <c r="G38" s="56"/>
      <c r="H38" t="s">
        <v>69</v>
      </c>
      <c r="I38">
        <f>SUM(B21,C22,D23,F25,G26,H27,I28,J29,K30,L31,M32,N33,O34)</f>
        <v>0.1035587602</v>
      </c>
    </row>
    <row r="39" spans="1:18" x14ac:dyDescent="0.25">
      <c r="G39" s="55"/>
      <c r="H39" t="s">
        <v>39</v>
      </c>
      <c r="I39">
        <f>2*SUM(O21:O33,N21:N32,M21:M31,L21:L30,K21:K29,J21:J28,I21:I27,H21:H26,G21:G25,F21:F24,E21:E23,D21:D22,C21)</f>
        <v>0.87796313620000022</v>
      </c>
    </row>
    <row r="40" spans="1:18" x14ac:dyDescent="0.25">
      <c r="H40" t="s">
        <v>70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12</vt:i4>
      </vt:variant>
    </vt:vector>
  </HeadingPairs>
  <TitlesOfParts>
    <vt:vector size="15" baseType="lpstr">
      <vt:lpstr>Sensitivity analysis</vt:lpstr>
      <vt:lpstr>QQ calcs</vt:lpstr>
      <vt:lpstr>Sheet3</vt:lpstr>
      <vt:lpstr>C_</vt:lpstr>
      <vt:lpstr>Cbar</vt:lpstr>
      <vt:lpstr>D</vt:lpstr>
      <vt:lpstr>Dbar</vt:lpstr>
      <vt:lpstr>p</vt:lpstr>
      <vt:lpstr>pa</vt:lpstr>
      <vt:lpstr>pb</vt:lpstr>
      <vt:lpstr>pc</vt:lpstr>
      <vt:lpstr>PQ</vt:lpstr>
      <vt:lpstr>QQ</vt:lpstr>
      <vt:lpstr>QQdash</vt:lpstr>
      <vt:lpstr>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2011-09-07T15:08:42Z</dcterms:created>
  <dcterms:modified xsi:type="dcterms:W3CDTF">2012-05-17T21:26:06Z</dcterms:modified>
</cp:coreProperties>
</file>